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0.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Petar\Desktop\Bajic\Radovi\BDS - Core Walls\Resources\SAEE\"/>
    </mc:Choice>
  </mc:AlternateContent>
  <xr:revisionPtr revIDLastSave="0" documentId="13_ncr:1_{9C36DF4B-B710-4429-8729-51113A24CD32}" xr6:coauthVersionLast="47" xr6:coauthVersionMax="47" xr10:uidLastSave="{00000000-0000-0000-0000-000000000000}"/>
  <bookViews>
    <workbookView xWindow="19092" yWindow="-6696" windowWidth="30936" windowHeight="16896" firstSheet="3" activeTab="7" xr2:uid="{00000000-000D-0000-FFFF-FFFF00000000}"/>
  </bookViews>
  <sheets>
    <sheet name="Data" sheetId="5" r:id="rId1"/>
    <sheet name="NOTES" sheetId="43" r:id="rId2"/>
    <sheet name="WR03-01" sheetId="42" r:id="rId3"/>
    <sheet name="WR03-04" sheetId="44" r:id="rId4"/>
    <sheet name="WR3-05" sheetId="45" r:id="rId5"/>
    <sheet name="WR3-06" sheetId="47" r:id="rId6"/>
    <sheet name="Summary SSW" sheetId="50" r:id="rId7"/>
    <sheet name="WR03-01 CW" sheetId="52" r:id="rId8"/>
    <sheet name="WR03-05 CW" sheetId="53" r:id="rId9"/>
    <sheet name="WR03-06 CW" sheetId="54" r:id="rId10"/>
    <sheet name="Summary CW" sheetId="55" r:id="rId11"/>
  </sheets>
  <definedNames>
    <definedName name="Apples" localSheetId="10">#REF!</definedName>
    <definedName name="Apples" localSheetId="6">#REF!</definedName>
    <definedName name="Apples">#REF!</definedName>
    <definedName name="Bananas" localSheetId="10">#REF!</definedName>
    <definedName name="Bananas" localSheetId="6">#REF!</definedName>
    <definedName name="Bananas">#REF!</definedName>
    <definedName name="grp_WalkMeArrows">"shp_ArrowCurved,txt_WalkMeArrows,shp_ArrowStraight"</definedName>
    <definedName name="grp_WalkMeBrace">"shp_BraceBottom,txt_WalkMeBrace,shp_BraceLeft"</definedName>
    <definedName name="Lemons">#REF!</definedName>
    <definedName name="lst_Fruit">#REF!</definedName>
    <definedName name="lst_FruitType">#REF!</definedName>
    <definedName name="Oranges">#REF!</definedName>
    <definedName name="SalesTax">0.0825</definedName>
    <definedName name="Shipping">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5" i="54" l="1"/>
  <c r="I44" i="54"/>
  <c r="F44" i="54"/>
  <c r="C44" i="54"/>
  <c r="I43" i="54"/>
  <c r="F43" i="54"/>
  <c r="C43" i="54"/>
  <c r="AT26" i="54"/>
  <c r="M55" i="54" s="1"/>
  <c r="AS26" i="54"/>
  <c r="L55" i="54" s="1"/>
  <c r="AQ26" i="54"/>
  <c r="M45" i="54" s="1"/>
  <c r="F26" i="54"/>
  <c r="AV22" i="54"/>
  <c r="AT17" i="54"/>
  <c r="AS17" i="54"/>
  <c r="AQ17" i="54"/>
  <c r="AP17" i="54"/>
  <c r="AV15" i="54"/>
  <c r="AP15" i="54"/>
  <c r="AP24" i="54" s="1"/>
  <c r="AP28" i="54" s="1"/>
  <c r="L47" i="54" s="1"/>
  <c r="AN15" i="54"/>
  <c r="J43" i="54" s="1"/>
  <c r="AJ15" i="54"/>
  <c r="G43" i="54" s="1"/>
  <c r="AE15" i="54"/>
  <c r="D43" i="54" s="1"/>
  <c r="G15" i="54"/>
  <c r="G18" i="54" s="1"/>
  <c r="F15" i="54"/>
  <c r="J10" i="54"/>
  <c r="I10" i="54"/>
  <c r="H10" i="54"/>
  <c r="AS16" i="54" s="1"/>
  <c r="G10" i="54"/>
  <c r="F10" i="54"/>
  <c r="E10" i="54"/>
  <c r="D10" i="54"/>
  <c r="AS27" i="54" s="1"/>
  <c r="L56" i="54" s="1"/>
  <c r="P5" i="54"/>
  <c r="O5" i="54"/>
  <c r="N5" i="54"/>
  <c r="M5" i="54"/>
  <c r="L5" i="54"/>
  <c r="K5" i="54"/>
  <c r="AV20" i="54" s="1"/>
  <c r="J5" i="54"/>
  <c r="I5" i="54"/>
  <c r="H5" i="54"/>
  <c r="G5" i="54"/>
  <c r="F5" i="54"/>
  <c r="E5" i="54"/>
  <c r="D5" i="54"/>
  <c r="L45" i="53"/>
  <c r="I44" i="53"/>
  <c r="F44" i="53"/>
  <c r="C44" i="53"/>
  <c r="I43" i="53"/>
  <c r="F43" i="53"/>
  <c r="C43" i="53"/>
  <c r="AV27" i="53"/>
  <c r="AT26" i="53"/>
  <c r="M55" i="53" s="1"/>
  <c r="AS26" i="53"/>
  <c r="L55" i="53" s="1"/>
  <c r="AQ26" i="53"/>
  <c r="M45" i="53" s="1"/>
  <c r="F26" i="53"/>
  <c r="AV25" i="53"/>
  <c r="AT19" i="53"/>
  <c r="AV18" i="53"/>
  <c r="AT17" i="53"/>
  <c r="AS17" i="53"/>
  <c r="AQ17" i="53"/>
  <c r="AP17" i="53"/>
  <c r="AL17" i="53"/>
  <c r="AM16" i="53"/>
  <c r="AN16" i="53" s="1"/>
  <c r="J44" i="53" s="1"/>
  <c r="AV15" i="53"/>
  <c r="AP15" i="53"/>
  <c r="AN15" i="53"/>
  <c r="J43" i="53" s="1"/>
  <c r="AJ15" i="53"/>
  <c r="G43" i="53" s="1"/>
  <c r="AE15" i="53"/>
  <c r="D43" i="53" s="1"/>
  <c r="G15" i="53"/>
  <c r="G18" i="53" s="1"/>
  <c r="F15" i="53"/>
  <c r="F18" i="53" s="1"/>
  <c r="J10" i="53"/>
  <c r="AS28" i="53" s="1"/>
  <c r="L57" i="53" s="1"/>
  <c r="I10" i="53"/>
  <c r="H10" i="53"/>
  <c r="AS18" i="53" s="1"/>
  <c r="G10" i="53"/>
  <c r="F10" i="53"/>
  <c r="E10" i="53"/>
  <c r="AT28" i="53" s="1"/>
  <c r="M57" i="53" s="1"/>
  <c r="D10" i="53"/>
  <c r="P5" i="53"/>
  <c r="O5" i="53"/>
  <c r="N5" i="53"/>
  <c r="M5" i="53"/>
  <c r="L5" i="53"/>
  <c r="K5" i="53"/>
  <c r="J5" i="53"/>
  <c r="I5" i="53"/>
  <c r="H5" i="53"/>
  <c r="G5" i="53"/>
  <c r="F5" i="53"/>
  <c r="E5" i="53"/>
  <c r="D5" i="53"/>
  <c r="L45" i="52"/>
  <c r="I44" i="52"/>
  <c r="F44" i="52"/>
  <c r="C44" i="52"/>
  <c r="I43" i="52"/>
  <c r="F43" i="52"/>
  <c r="C43" i="52"/>
  <c r="AT26" i="52"/>
  <c r="M55" i="52" s="1"/>
  <c r="AS26" i="52"/>
  <c r="L55" i="52" s="1"/>
  <c r="AQ26" i="52"/>
  <c r="M45" i="52" s="1"/>
  <c r="F26" i="52"/>
  <c r="AT17" i="52"/>
  <c r="AS17" i="52"/>
  <c r="AQ17" i="52"/>
  <c r="AP17" i="52"/>
  <c r="AP16" i="52"/>
  <c r="AP18" i="52" s="1"/>
  <c r="AN15" i="52"/>
  <c r="J43" i="52" s="1"/>
  <c r="AJ15" i="52"/>
  <c r="G43" i="52" s="1"/>
  <c r="AE15" i="52"/>
  <c r="D43" i="52" s="1"/>
  <c r="G15" i="52"/>
  <c r="G18" i="52" s="1"/>
  <c r="F15" i="52"/>
  <c r="F18" i="52" s="1"/>
  <c r="J10" i="52"/>
  <c r="I10" i="52"/>
  <c r="H10" i="52"/>
  <c r="AS18" i="52" s="1"/>
  <c r="G10" i="52"/>
  <c r="F10" i="52"/>
  <c r="E10" i="52"/>
  <c r="D10" i="52"/>
  <c r="P5" i="52"/>
  <c r="O5" i="52"/>
  <c r="N5" i="52"/>
  <c r="M5" i="52"/>
  <c r="L5" i="52"/>
  <c r="K5" i="52"/>
  <c r="AV15" i="52" s="1"/>
  <c r="J5" i="52"/>
  <c r="I5" i="52"/>
  <c r="H5" i="52"/>
  <c r="G5" i="52"/>
  <c r="F5" i="52"/>
  <c r="E5" i="52"/>
  <c r="D5" i="52"/>
  <c r="L45" i="47"/>
  <c r="I44" i="47"/>
  <c r="F44" i="47"/>
  <c r="C44" i="47"/>
  <c r="I43" i="47"/>
  <c r="F43" i="47"/>
  <c r="C43" i="47"/>
  <c r="AT26" i="47"/>
  <c r="M55" i="47" s="1"/>
  <c r="AS26" i="47"/>
  <c r="L55" i="47" s="1"/>
  <c r="AQ26" i="47"/>
  <c r="M45" i="47" s="1"/>
  <c r="F26" i="47"/>
  <c r="AV25" i="47"/>
  <c r="AQ24" i="47"/>
  <c r="AT19" i="47"/>
  <c r="AT18" i="47"/>
  <c r="AL18" i="47"/>
  <c r="AT17" i="47"/>
  <c r="AS17" i="47"/>
  <c r="AQ17" i="47"/>
  <c r="AP17" i="47"/>
  <c r="AL17" i="47"/>
  <c r="I45" i="47" s="1"/>
  <c r="AV16" i="47"/>
  <c r="AP16" i="47"/>
  <c r="AP18" i="47" s="1"/>
  <c r="AV15" i="47"/>
  <c r="AN15" i="47"/>
  <c r="J43" i="47" s="1"/>
  <c r="AJ15" i="47"/>
  <c r="G43" i="47" s="1"/>
  <c r="AE15" i="47"/>
  <c r="D43" i="47" s="1"/>
  <c r="G15" i="47"/>
  <c r="F15" i="47"/>
  <c r="J10" i="47"/>
  <c r="I10" i="47"/>
  <c r="H10" i="47"/>
  <c r="AS18" i="47" s="1"/>
  <c r="G10" i="47"/>
  <c r="F10" i="47"/>
  <c r="E10" i="47"/>
  <c r="AT24" i="47" s="1"/>
  <c r="M53" i="47" s="1"/>
  <c r="D10" i="47"/>
  <c r="AP25" i="47" s="1"/>
  <c r="P5" i="47"/>
  <c r="O5" i="47"/>
  <c r="N5" i="47"/>
  <c r="M5" i="47"/>
  <c r="L5" i="47"/>
  <c r="K5" i="47"/>
  <c r="AV37" i="47" s="1"/>
  <c r="J5" i="47"/>
  <c r="I5" i="47"/>
  <c r="H5" i="47"/>
  <c r="G5" i="47"/>
  <c r="F5" i="47"/>
  <c r="E5" i="47"/>
  <c r="D5" i="47"/>
  <c r="L45" i="45"/>
  <c r="I44" i="45"/>
  <c r="F44" i="45"/>
  <c r="C44" i="45"/>
  <c r="I43" i="45"/>
  <c r="F43" i="45"/>
  <c r="C43" i="45"/>
  <c r="AT26" i="45"/>
  <c r="M55" i="45" s="1"/>
  <c r="AS26" i="45"/>
  <c r="L55" i="45" s="1"/>
  <c r="AQ26" i="45"/>
  <c r="M45" i="45" s="1"/>
  <c r="F26" i="45"/>
  <c r="AV22" i="45"/>
  <c r="AT17" i="45"/>
  <c r="AS17" i="45"/>
  <c r="AQ17" i="45"/>
  <c r="AP17" i="45"/>
  <c r="AT16" i="45"/>
  <c r="AT15" i="45"/>
  <c r="AN15" i="45"/>
  <c r="J43" i="45" s="1"/>
  <c r="AJ15" i="45"/>
  <c r="G43" i="45" s="1"/>
  <c r="AE15" i="45"/>
  <c r="D43" i="45" s="1"/>
  <c r="G15" i="45"/>
  <c r="F15" i="45"/>
  <c r="J10" i="45"/>
  <c r="AP15" i="45" s="1"/>
  <c r="I10" i="45"/>
  <c r="H10" i="45"/>
  <c r="AS16" i="45" s="1"/>
  <c r="G10" i="45"/>
  <c r="AS25" i="45" s="1"/>
  <c r="L54" i="45" s="1"/>
  <c r="F10" i="45"/>
  <c r="E10" i="45"/>
  <c r="D10" i="45"/>
  <c r="P5" i="45"/>
  <c r="O5" i="45"/>
  <c r="N5" i="45"/>
  <c r="M5" i="45"/>
  <c r="L5" i="45"/>
  <c r="K5" i="45"/>
  <c r="AV31" i="45" s="1"/>
  <c r="J5" i="45"/>
  <c r="I5" i="45"/>
  <c r="H5" i="45"/>
  <c r="G5" i="45"/>
  <c r="F5" i="45"/>
  <c r="E5" i="45"/>
  <c r="D5" i="45"/>
  <c r="L45" i="44"/>
  <c r="I44" i="44"/>
  <c r="F44" i="44"/>
  <c r="C44" i="44"/>
  <c r="I43" i="44"/>
  <c r="F43" i="44"/>
  <c r="C43" i="44"/>
  <c r="AT26" i="44"/>
  <c r="M55" i="44" s="1"/>
  <c r="AS26" i="44"/>
  <c r="L55" i="44" s="1"/>
  <c r="AQ26" i="44"/>
  <c r="M45" i="44" s="1"/>
  <c r="F26" i="44"/>
  <c r="F18" i="44"/>
  <c r="AT17" i="44"/>
  <c r="AS17" i="44"/>
  <c r="AQ17" i="44"/>
  <c r="AP17" i="44"/>
  <c r="AN15" i="44"/>
  <c r="J43" i="44" s="1"/>
  <c r="AJ15" i="44"/>
  <c r="G43" i="44" s="1"/>
  <c r="AE15" i="44"/>
  <c r="D43" i="44" s="1"/>
  <c r="G15" i="44"/>
  <c r="G18" i="44" s="1"/>
  <c r="C26" i="44" s="1"/>
  <c r="D24" i="44" s="1"/>
  <c r="F15" i="44"/>
  <c r="J10" i="44"/>
  <c r="AS19" i="44" s="1"/>
  <c r="I10" i="44"/>
  <c r="H10" i="44"/>
  <c r="AS18" i="44" s="1"/>
  <c r="G10" i="44"/>
  <c r="F10" i="44"/>
  <c r="E10" i="44"/>
  <c r="D10" i="44"/>
  <c r="P5" i="44"/>
  <c r="O5" i="44"/>
  <c r="N5" i="44"/>
  <c r="M5" i="44"/>
  <c r="L5" i="44"/>
  <c r="K5" i="44"/>
  <c r="AV24" i="44" s="1"/>
  <c r="J5" i="44"/>
  <c r="I5" i="44"/>
  <c r="H5" i="44"/>
  <c r="G5" i="44"/>
  <c r="F5" i="44"/>
  <c r="E5" i="44"/>
  <c r="D5" i="44"/>
  <c r="M54" i="42"/>
  <c r="M55" i="42"/>
  <c r="M56" i="42"/>
  <c r="M57" i="42"/>
  <c r="M53" i="42"/>
  <c r="L54" i="42"/>
  <c r="L55" i="42"/>
  <c r="L56" i="42"/>
  <c r="L57" i="42"/>
  <c r="L53" i="42"/>
  <c r="AT28" i="42"/>
  <c r="AT27" i="42"/>
  <c r="AT26" i="42"/>
  <c r="AT25" i="42"/>
  <c r="AT24" i="42"/>
  <c r="AS28" i="42"/>
  <c r="AS27" i="42"/>
  <c r="AS26" i="42"/>
  <c r="AS25" i="42"/>
  <c r="AS24" i="42"/>
  <c r="AT19" i="42"/>
  <c r="AT18" i="42"/>
  <c r="AT17" i="42"/>
  <c r="AT16" i="42"/>
  <c r="AT15" i="42"/>
  <c r="AS19" i="42"/>
  <c r="AS18" i="42"/>
  <c r="AS17" i="42"/>
  <c r="AS16" i="42"/>
  <c r="AS15" i="42"/>
  <c r="E20" i="5"/>
  <c r="E19" i="5"/>
  <c r="E18" i="5"/>
  <c r="F26" i="42"/>
  <c r="E5" i="42"/>
  <c r="AQ15" i="54" l="1"/>
  <c r="AQ16" i="54" s="1"/>
  <c r="AQ18" i="54" s="1"/>
  <c r="AQ19" i="54" s="1"/>
  <c r="AT16" i="54"/>
  <c r="AV19" i="54"/>
  <c r="AL37" i="54"/>
  <c r="AS28" i="54"/>
  <c r="L57" i="54" s="1"/>
  <c r="AS24" i="54"/>
  <c r="L53" i="54" s="1"/>
  <c r="AS19" i="54"/>
  <c r="AS15" i="54"/>
  <c r="AV16" i="54"/>
  <c r="AS18" i="54"/>
  <c r="L43" i="54"/>
  <c r="AP25" i="54"/>
  <c r="AQ24" i="54"/>
  <c r="AT27" i="54"/>
  <c r="M56" i="54" s="1"/>
  <c r="AT25" i="54"/>
  <c r="M54" i="54" s="1"/>
  <c r="AT18" i="54"/>
  <c r="I18" i="54"/>
  <c r="L18" i="54" s="1"/>
  <c r="N18" i="54" s="1"/>
  <c r="E21" i="54" s="1"/>
  <c r="G21" i="54" s="1"/>
  <c r="AS25" i="54"/>
  <c r="L54" i="54" s="1"/>
  <c r="AV34" i="54"/>
  <c r="AV30" i="54"/>
  <c r="AV33" i="54"/>
  <c r="AV36" i="54"/>
  <c r="AV32" i="54"/>
  <c r="AV28" i="54"/>
  <c r="AV37" i="54"/>
  <c r="AV35" i="54"/>
  <c r="AV29" i="54"/>
  <c r="AV31" i="54"/>
  <c r="AV27" i="54"/>
  <c r="AV25" i="54"/>
  <c r="AV18" i="54"/>
  <c r="AL17" i="54"/>
  <c r="AV26" i="54"/>
  <c r="AV24" i="54"/>
  <c r="AV23" i="54"/>
  <c r="AT28" i="54"/>
  <c r="M57" i="54" s="1"/>
  <c r="AT19" i="54"/>
  <c r="AM37" i="54"/>
  <c r="AN37" i="54" s="1"/>
  <c r="J65" i="54" s="1"/>
  <c r="AM16" i="54"/>
  <c r="AN16" i="54" s="1"/>
  <c r="J44" i="54" s="1"/>
  <c r="AT15" i="54"/>
  <c r="AP16" i="54"/>
  <c r="AP18" i="54" s="1"/>
  <c r="AV17" i="54"/>
  <c r="F18" i="54"/>
  <c r="H18" i="54" s="1"/>
  <c r="K18" i="54" s="1"/>
  <c r="M18" i="54" s="1"/>
  <c r="AP19" i="54"/>
  <c r="J21" i="54"/>
  <c r="AV21" i="54"/>
  <c r="G24" i="54"/>
  <c r="AT24" i="54"/>
  <c r="M53" i="54" s="1"/>
  <c r="C26" i="53"/>
  <c r="D24" i="53" s="1"/>
  <c r="H18" i="53"/>
  <c r="K18" i="53" s="1"/>
  <c r="M18" i="53" s="1"/>
  <c r="F21" i="53" s="1"/>
  <c r="H21" i="53" s="1"/>
  <c r="AT27" i="53"/>
  <c r="M56" i="53" s="1"/>
  <c r="AT25" i="53"/>
  <c r="M54" i="53" s="1"/>
  <c r="AT18" i="53"/>
  <c r="AS27" i="53"/>
  <c r="L56" i="53" s="1"/>
  <c r="AS25" i="53"/>
  <c r="L54" i="53" s="1"/>
  <c r="AP16" i="53"/>
  <c r="AP18" i="53" s="1"/>
  <c r="AT16" i="53"/>
  <c r="AQ15" i="53"/>
  <c r="AQ16" i="53" s="1"/>
  <c r="AQ18" i="53" s="1"/>
  <c r="AQ19" i="53" s="1"/>
  <c r="AQ24" i="53"/>
  <c r="AS16" i="53"/>
  <c r="I45" i="53"/>
  <c r="AL18" i="53"/>
  <c r="I18" i="53"/>
  <c r="L18" i="53" s="1"/>
  <c r="N18" i="53" s="1"/>
  <c r="E21" i="53" s="1"/>
  <c r="G21" i="53" s="1"/>
  <c r="AP25" i="53"/>
  <c r="AP24" i="53"/>
  <c r="AP19" i="53"/>
  <c r="AV34" i="53"/>
  <c r="AV30" i="53"/>
  <c r="AV33" i="53"/>
  <c r="AV29" i="53"/>
  <c r="AV36" i="53"/>
  <c r="AV32" i="53"/>
  <c r="AV28" i="53"/>
  <c r="AM17" i="53"/>
  <c r="AN17" i="53" s="1"/>
  <c r="J45" i="53" s="1"/>
  <c r="AV19" i="53"/>
  <c r="J21" i="53"/>
  <c r="AV21" i="53"/>
  <c r="AS24" i="53"/>
  <c r="L53" i="53" s="1"/>
  <c r="AS15" i="53"/>
  <c r="AV16" i="53"/>
  <c r="AM18" i="53"/>
  <c r="AN18" i="53" s="1"/>
  <c r="J46" i="53" s="1"/>
  <c r="AV20" i="53"/>
  <c r="AV22" i="53"/>
  <c r="G24" i="53"/>
  <c r="AT24" i="53"/>
  <c r="M53" i="53" s="1"/>
  <c r="AV31" i="53"/>
  <c r="AL37" i="53"/>
  <c r="AM37" i="53"/>
  <c r="AN37" i="53" s="1"/>
  <c r="J65" i="53" s="1"/>
  <c r="AT15" i="53"/>
  <c r="AV17" i="53"/>
  <c r="AS19" i="53"/>
  <c r="AV23" i="53"/>
  <c r="AV24" i="53"/>
  <c r="AV26" i="53"/>
  <c r="AV35" i="53"/>
  <c r="AV37" i="53"/>
  <c r="C26" i="52"/>
  <c r="D24" i="52" s="1"/>
  <c r="AL37" i="52"/>
  <c r="AM37" i="52"/>
  <c r="AN37" i="52" s="1"/>
  <c r="J65" i="52" s="1"/>
  <c r="H18" i="52"/>
  <c r="K18" i="52" s="1"/>
  <c r="M18" i="52" s="1"/>
  <c r="AS16" i="52"/>
  <c r="AS28" i="52"/>
  <c r="L57" i="52" s="1"/>
  <c r="AS19" i="52"/>
  <c r="AS24" i="52"/>
  <c r="L53" i="52" s="1"/>
  <c r="AS15" i="52"/>
  <c r="AT27" i="52"/>
  <c r="M56" i="52" s="1"/>
  <c r="AT25" i="52"/>
  <c r="M54" i="52" s="1"/>
  <c r="AT18" i="52"/>
  <c r="AS27" i="52"/>
  <c r="L56" i="52" s="1"/>
  <c r="AS25" i="52"/>
  <c r="L54" i="52" s="1"/>
  <c r="AP25" i="52"/>
  <c r="AQ24" i="52"/>
  <c r="I18" i="52"/>
  <c r="L18" i="52" s="1"/>
  <c r="N18" i="52" s="1"/>
  <c r="E21" i="52" s="1"/>
  <c r="G21" i="52" s="1"/>
  <c r="AP15" i="52"/>
  <c r="AM16" i="52"/>
  <c r="AN16" i="52" s="1"/>
  <c r="J44" i="52" s="1"/>
  <c r="AT16" i="52"/>
  <c r="AV34" i="52"/>
  <c r="AV30" i="52"/>
  <c r="AV33" i="52"/>
  <c r="AV29" i="52"/>
  <c r="AV36" i="52"/>
  <c r="AV28" i="52"/>
  <c r="AV26" i="52"/>
  <c r="AV24" i="52"/>
  <c r="AV23" i="52"/>
  <c r="AV17" i="52"/>
  <c r="AV22" i="52"/>
  <c r="AV20" i="52"/>
  <c r="AV32" i="52"/>
  <c r="AV21" i="52"/>
  <c r="AV19" i="52"/>
  <c r="AV37" i="52"/>
  <c r="AV35" i="52"/>
  <c r="AV31" i="52"/>
  <c r="AV27" i="52"/>
  <c r="AV25" i="52"/>
  <c r="AV18" i="52"/>
  <c r="AL17" i="52"/>
  <c r="AT15" i="52"/>
  <c r="AT28" i="52"/>
  <c r="M57" i="52" s="1"/>
  <c r="AT24" i="52"/>
  <c r="M53" i="52" s="1"/>
  <c r="AT19" i="52"/>
  <c r="AQ15" i="52"/>
  <c r="AQ16" i="52" s="1"/>
  <c r="AQ18" i="52" s="1"/>
  <c r="AQ19" i="52" s="1"/>
  <c r="AV16" i="52"/>
  <c r="J21" i="52"/>
  <c r="G24" i="52"/>
  <c r="G18" i="47"/>
  <c r="I18" i="47" s="1"/>
  <c r="L18" i="47" s="1"/>
  <c r="N18" i="47" s="1"/>
  <c r="E21" i="47" s="1"/>
  <c r="G21" i="47" s="1"/>
  <c r="L44" i="47"/>
  <c r="AP27" i="47"/>
  <c r="L46" i="47" s="1"/>
  <c r="M43" i="47"/>
  <c r="AQ25" i="47"/>
  <c r="AM37" i="47"/>
  <c r="AN37" i="47" s="1"/>
  <c r="J65" i="47" s="1"/>
  <c r="AM18" i="47"/>
  <c r="AN18" i="47" s="1"/>
  <c r="J46" i="47" s="1"/>
  <c r="G24" i="47"/>
  <c r="AT15" i="47"/>
  <c r="AV17" i="47"/>
  <c r="AV18" i="47"/>
  <c r="AV19" i="47"/>
  <c r="AV35" i="47"/>
  <c r="AL37" i="47"/>
  <c r="AS28" i="47"/>
  <c r="L57" i="47" s="1"/>
  <c r="AS24" i="47"/>
  <c r="L53" i="47" s="1"/>
  <c r="AS15" i="47"/>
  <c r="I46" i="47"/>
  <c r="AL19" i="47"/>
  <c r="AS27" i="47"/>
  <c r="L56" i="47" s="1"/>
  <c r="AT25" i="47"/>
  <c r="M54" i="47" s="1"/>
  <c r="AS25" i="47"/>
  <c r="L54" i="47" s="1"/>
  <c r="AP15" i="47"/>
  <c r="AM16" i="47"/>
  <c r="AN16" i="47" s="1"/>
  <c r="J44" i="47" s="1"/>
  <c r="AS16" i="47"/>
  <c r="AV34" i="47"/>
  <c r="AV30" i="47"/>
  <c r="AV33" i="47"/>
  <c r="AV29" i="47"/>
  <c r="AV32" i="47"/>
  <c r="AV26" i="47"/>
  <c r="AV24" i="47"/>
  <c r="AV23" i="47"/>
  <c r="AV31" i="47"/>
  <c r="AV22" i="47"/>
  <c r="AV20" i="47"/>
  <c r="AV36" i="47"/>
  <c r="AV28" i="47"/>
  <c r="AV27" i="47"/>
  <c r="AQ15" i="47"/>
  <c r="AQ16" i="47" s="1"/>
  <c r="AQ18" i="47" s="1"/>
  <c r="AQ19" i="47" s="1"/>
  <c r="AT16" i="47"/>
  <c r="AM17" i="47"/>
  <c r="AN17" i="47" s="1"/>
  <c r="J45" i="47" s="1"/>
  <c r="F18" i="47"/>
  <c r="AS19" i="47"/>
  <c r="J21" i="47"/>
  <c r="AV21" i="47"/>
  <c r="AT27" i="47"/>
  <c r="M56" i="47" s="1"/>
  <c r="AT28" i="47"/>
  <c r="M57" i="47" s="1"/>
  <c r="G24" i="45"/>
  <c r="AP24" i="45"/>
  <c r="AP19" i="45"/>
  <c r="AS27" i="45"/>
  <c r="L56" i="45" s="1"/>
  <c r="AT27" i="45"/>
  <c r="M56" i="45" s="1"/>
  <c r="AP25" i="45"/>
  <c r="AQ24" i="45"/>
  <c r="AT25" i="45"/>
  <c r="M54" i="45" s="1"/>
  <c r="AV15" i="45"/>
  <c r="AV16" i="45"/>
  <c r="AV19" i="45"/>
  <c r="AM37" i="45"/>
  <c r="AN37" i="45" s="1"/>
  <c r="J65" i="45" s="1"/>
  <c r="AM16" i="45"/>
  <c r="AN16" i="45" s="1"/>
  <c r="J44" i="45" s="1"/>
  <c r="AV34" i="45"/>
  <c r="AV30" i="45"/>
  <c r="AV33" i="45"/>
  <c r="AV29" i="45"/>
  <c r="AV36" i="45"/>
  <c r="AV28" i="45"/>
  <c r="AV27" i="45"/>
  <c r="AV37" i="45"/>
  <c r="AV35" i="45"/>
  <c r="AV25" i="45"/>
  <c r="AV18" i="45"/>
  <c r="AL17" i="45"/>
  <c r="AV32" i="45"/>
  <c r="AV26" i="45"/>
  <c r="AV24" i="45"/>
  <c r="AV23" i="45"/>
  <c r="AT28" i="45"/>
  <c r="M57" i="45" s="1"/>
  <c r="AT19" i="45"/>
  <c r="AQ15" i="45"/>
  <c r="AQ16" i="45" s="1"/>
  <c r="AQ18" i="45" s="1"/>
  <c r="AQ19" i="45" s="1"/>
  <c r="AP16" i="45"/>
  <c r="AP18" i="45" s="1"/>
  <c r="AV17" i="45"/>
  <c r="F18" i="45"/>
  <c r="H18" i="45" s="1"/>
  <c r="K18" i="45" s="1"/>
  <c r="M18" i="45" s="1"/>
  <c r="AS18" i="45"/>
  <c r="AV20" i="45"/>
  <c r="AL37" i="45"/>
  <c r="AS24" i="45"/>
  <c r="L53" i="45" s="1"/>
  <c r="AS28" i="45"/>
  <c r="L57" i="45" s="1"/>
  <c r="AS19" i="45"/>
  <c r="AS15" i="45"/>
  <c r="G18" i="45"/>
  <c r="I18" i="45" s="1"/>
  <c r="L18" i="45" s="1"/>
  <c r="N18" i="45" s="1"/>
  <c r="E21" i="45" s="1"/>
  <c r="G21" i="45" s="1"/>
  <c r="AT18" i="45"/>
  <c r="J21" i="45"/>
  <c r="AV21" i="45"/>
  <c r="AT24" i="45"/>
  <c r="M53" i="45" s="1"/>
  <c r="AS27" i="44"/>
  <c r="L56" i="44" s="1"/>
  <c r="AS25" i="44"/>
  <c r="L54" i="44" s="1"/>
  <c r="AT27" i="44"/>
  <c r="M56" i="44" s="1"/>
  <c r="AP25" i="44"/>
  <c r="AQ24" i="44"/>
  <c r="AP15" i="44"/>
  <c r="AV15" i="44"/>
  <c r="AM16" i="44"/>
  <c r="AN16" i="44" s="1"/>
  <c r="J44" i="44" s="1"/>
  <c r="AS16" i="44"/>
  <c r="AL17" i="44"/>
  <c r="I18" i="44"/>
  <c r="L18" i="44" s="1"/>
  <c r="N18" i="44" s="1"/>
  <c r="E21" i="44" s="1"/>
  <c r="G21" i="44" s="1"/>
  <c r="AV18" i="44"/>
  <c r="J21" i="44"/>
  <c r="AV21" i="44"/>
  <c r="AM37" i="44"/>
  <c r="AN37" i="44" s="1"/>
  <c r="J65" i="44" s="1"/>
  <c r="AV34" i="44"/>
  <c r="AV30" i="44"/>
  <c r="AV33" i="44"/>
  <c r="AV29" i="44"/>
  <c r="AV36" i="44"/>
  <c r="AV28" i="44"/>
  <c r="AV27" i="44"/>
  <c r="AV22" i="44"/>
  <c r="AV20" i="44"/>
  <c r="AV37" i="44"/>
  <c r="AV35" i="44"/>
  <c r="AV32" i="44"/>
  <c r="AV25" i="44"/>
  <c r="AT24" i="44"/>
  <c r="M53" i="44" s="1"/>
  <c r="AT28" i="44"/>
  <c r="M57" i="44" s="1"/>
  <c r="AT19" i="44"/>
  <c r="AQ15" i="44"/>
  <c r="AQ16" i="44" s="1"/>
  <c r="AQ18" i="44" s="1"/>
  <c r="AQ19" i="44" s="1"/>
  <c r="AT16" i="44"/>
  <c r="AM17" i="44"/>
  <c r="AN17" i="44" s="1"/>
  <c r="J45" i="44" s="1"/>
  <c r="AV23" i="44"/>
  <c r="AT25" i="44"/>
  <c r="M54" i="44" s="1"/>
  <c r="AV31" i="44"/>
  <c r="AL37" i="44"/>
  <c r="AS28" i="44"/>
  <c r="L57" i="44" s="1"/>
  <c r="AS24" i="44"/>
  <c r="L53" i="44" s="1"/>
  <c r="AS15" i="44"/>
  <c r="AP16" i="44"/>
  <c r="AP18" i="44" s="1"/>
  <c r="AV16" i="44"/>
  <c r="AV19" i="44"/>
  <c r="AV26" i="44"/>
  <c r="G24" i="44"/>
  <c r="AT15" i="44"/>
  <c r="AV17" i="44"/>
  <c r="H18" i="44"/>
  <c r="K18" i="44" s="1"/>
  <c r="M18" i="44" s="1"/>
  <c r="AT18" i="44"/>
  <c r="F44" i="42"/>
  <c r="F43" i="42"/>
  <c r="I21" i="54" l="1"/>
  <c r="K21" i="54" s="1"/>
  <c r="F21" i="54"/>
  <c r="H21" i="54" s="1"/>
  <c r="L21" i="54" s="1"/>
  <c r="AP27" i="54"/>
  <c r="L46" i="54" s="1"/>
  <c r="L44" i="54"/>
  <c r="AX36" i="54"/>
  <c r="AX32" i="54"/>
  <c r="AX28" i="54"/>
  <c r="I65" i="54"/>
  <c r="AX37" i="54"/>
  <c r="AX35" i="54"/>
  <c r="AX31" i="54"/>
  <c r="AX34" i="54"/>
  <c r="AX30" i="54"/>
  <c r="AX33" i="54"/>
  <c r="AX26" i="54"/>
  <c r="AX24" i="54"/>
  <c r="AX22" i="54"/>
  <c r="AX20" i="54"/>
  <c r="AX16" i="54"/>
  <c r="AX21" i="54"/>
  <c r="AX19" i="54"/>
  <c r="AX27" i="54"/>
  <c r="AX25" i="54"/>
  <c r="AX29" i="54"/>
  <c r="AX15" i="54"/>
  <c r="AX23" i="54"/>
  <c r="AX18" i="54"/>
  <c r="AX17" i="54"/>
  <c r="C26" i="54"/>
  <c r="D24" i="54" s="1"/>
  <c r="I45" i="54"/>
  <c r="AL18" i="54"/>
  <c r="AM17" i="54"/>
  <c r="AN17" i="54" s="1"/>
  <c r="J45" i="54" s="1"/>
  <c r="M43" i="54"/>
  <c r="AQ25" i="54"/>
  <c r="I21" i="53"/>
  <c r="K21" i="53" s="1"/>
  <c r="L21" i="53"/>
  <c r="M21" i="53" s="1"/>
  <c r="N21" i="53" s="1"/>
  <c r="AP27" i="53"/>
  <c r="L46" i="53" s="1"/>
  <c r="L44" i="53"/>
  <c r="M43" i="53"/>
  <c r="AQ25" i="53"/>
  <c r="AX36" i="53"/>
  <c r="AX32" i="53"/>
  <c r="AX28" i="53"/>
  <c r="I65" i="53"/>
  <c r="AX37" i="53"/>
  <c r="AX35" i="53"/>
  <c r="AX31" i="53"/>
  <c r="AX27" i="53"/>
  <c r="AX34" i="53"/>
  <c r="AX30" i="53"/>
  <c r="AX33" i="53"/>
  <c r="AX21" i="53"/>
  <c r="AX19" i="53"/>
  <c r="AX25" i="53"/>
  <c r="AX18" i="53"/>
  <c r="AX15" i="53"/>
  <c r="AX26" i="53"/>
  <c r="AX24" i="53"/>
  <c r="AX23" i="53"/>
  <c r="AX17" i="53"/>
  <c r="AX29" i="53"/>
  <c r="AX22" i="53"/>
  <c r="AX16" i="53"/>
  <c r="AX20" i="53"/>
  <c r="AP28" i="53"/>
  <c r="L47" i="53" s="1"/>
  <c r="L43" i="53"/>
  <c r="I46" i="53"/>
  <c r="AL19" i="53"/>
  <c r="AP24" i="52"/>
  <c r="AP19" i="52"/>
  <c r="AX36" i="52"/>
  <c r="AX32" i="52"/>
  <c r="AX28" i="52"/>
  <c r="I65" i="52"/>
  <c r="AX37" i="52"/>
  <c r="AX35" i="52"/>
  <c r="AX31" i="52"/>
  <c r="AX34" i="52"/>
  <c r="AX21" i="52"/>
  <c r="AX19" i="52"/>
  <c r="AX33" i="52"/>
  <c r="AX27" i="52"/>
  <c r="AX25" i="52"/>
  <c r="AX18" i="52"/>
  <c r="AX30" i="52"/>
  <c r="AX26" i="52"/>
  <c r="AX24" i="52"/>
  <c r="AX23" i="52"/>
  <c r="AX29" i="52"/>
  <c r="AX22" i="52"/>
  <c r="AX20" i="52"/>
  <c r="AX15" i="52"/>
  <c r="AX17" i="52"/>
  <c r="AX16" i="52"/>
  <c r="L44" i="52"/>
  <c r="AP27" i="52"/>
  <c r="L46" i="52" s="1"/>
  <c r="I45" i="52"/>
  <c r="AL18" i="52"/>
  <c r="AM17" i="52"/>
  <c r="AN17" i="52" s="1"/>
  <c r="J45" i="52" s="1"/>
  <c r="M43" i="52"/>
  <c r="AQ25" i="52"/>
  <c r="F21" i="52"/>
  <c r="H21" i="52" s="1"/>
  <c r="L21" i="52" s="1"/>
  <c r="I21" i="52"/>
  <c r="K21" i="52" s="1"/>
  <c r="C26" i="47"/>
  <c r="D24" i="47" s="1"/>
  <c r="H18" i="47"/>
  <c r="K18" i="47" s="1"/>
  <c r="M18" i="47" s="1"/>
  <c r="AQ28" i="47"/>
  <c r="M47" i="47" s="1"/>
  <c r="M44" i="47"/>
  <c r="AQ27" i="47"/>
  <c r="M46" i="47" s="1"/>
  <c r="AX36" i="47"/>
  <c r="AX32" i="47"/>
  <c r="I65" i="47"/>
  <c r="AX37" i="47"/>
  <c r="AX35" i="47"/>
  <c r="AX31" i="47"/>
  <c r="AX27" i="47"/>
  <c r="AX30" i="47"/>
  <c r="AX29" i="47"/>
  <c r="AX21" i="47"/>
  <c r="AX19" i="47"/>
  <c r="AX28" i="47"/>
  <c r="AX25" i="47"/>
  <c r="AX18" i="47"/>
  <c r="AX34" i="47"/>
  <c r="AX26" i="47"/>
  <c r="AX24" i="47"/>
  <c r="AX23" i="47"/>
  <c r="AX22" i="47"/>
  <c r="AX17" i="47"/>
  <c r="AX20" i="47"/>
  <c r="AX16" i="47"/>
  <c r="AX15" i="47"/>
  <c r="AX33" i="47"/>
  <c r="AP24" i="47"/>
  <c r="AP19" i="47"/>
  <c r="I47" i="47"/>
  <c r="AL20" i="47"/>
  <c r="AM19" i="47"/>
  <c r="AN19" i="47" s="1"/>
  <c r="J47" i="47" s="1"/>
  <c r="L44" i="45"/>
  <c r="AP27" i="45"/>
  <c r="L46" i="45" s="1"/>
  <c r="AX36" i="45"/>
  <c r="AX32" i="45"/>
  <c r="AX28" i="45"/>
  <c r="I65" i="45"/>
  <c r="AX37" i="45"/>
  <c r="AX35" i="45"/>
  <c r="AX31" i="45"/>
  <c r="AX27" i="45"/>
  <c r="AX34" i="45"/>
  <c r="AX26" i="45"/>
  <c r="AX24" i="45"/>
  <c r="AX33" i="45"/>
  <c r="AX22" i="45"/>
  <c r="AX20" i="45"/>
  <c r="AX16" i="45"/>
  <c r="AX30" i="45"/>
  <c r="AX21" i="45"/>
  <c r="AX19" i="45"/>
  <c r="AX17" i="45"/>
  <c r="AX15" i="45"/>
  <c r="AX29" i="45"/>
  <c r="AX25" i="45"/>
  <c r="AX23" i="45"/>
  <c r="AX18" i="45"/>
  <c r="I45" i="45"/>
  <c r="AL18" i="45"/>
  <c r="AM17" i="45"/>
  <c r="AN17" i="45" s="1"/>
  <c r="J45" i="45" s="1"/>
  <c r="I21" i="45"/>
  <c r="K21" i="45" s="1"/>
  <c r="F21" i="45"/>
  <c r="H21" i="45" s="1"/>
  <c r="L21" i="45" s="1"/>
  <c r="M43" i="45"/>
  <c r="AQ25" i="45"/>
  <c r="C26" i="45"/>
  <c r="D24" i="45" s="1"/>
  <c r="L43" i="45"/>
  <c r="AP28" i="45"/>
  <c r="L47" i="45" s="1"/>
  <c r="I45" i="44"/>
  <c r="AL18" i="44"/>
  <c r="AP24" i="44"/>
  <c r="AP19" i="44"/>
  <c r="I21" i="44"/>
  <c r="K21" i="44" s="1"/>
  <c r="F21" i="44"/>
  <c r="H21" i="44" s="1"/>
  <c r="L21" i="44" s="1"/>
  <c r="AX36" i="44"/>
  <c r="AX32" i="44"/>
  <c r="AX28" i="44"/>
  <c r="I65" i="44"/>
  <c r="AX37" i="44"/>
  <c r="AX35" i="44"/>
  <c r="AX31" i="44"/>
  <c r="AX27" i="44"/>
  <c r="AX34" i="44"/>
  <c r="AX25" i="44"/>
  <c r="AX33" i="44"/>
  <c r="AX26" i="44"/>
  <c r="AX24" i="44"/>
  <c r="AX30" i="44"/>
  <c r="AX22" i="44"/>
  <c r="AX20" i="44"/>
  <c r="AX19" i="44"/>
  <c r="AX23" i="44"/>
  <c r="AX18" i="44"/>
  <c r="AX15" i="44"/>
  <c r="AX21" i="44"/>
  <c r="AX17" i="44"/>
  <c r="AX29" i="44"/>
  <c r="AX16" i="44"/>
  <c r="M43" i="44"/>
  <c r="AQ25" i="44"/>
  <c r="L44" i="44"/>
  <c r="AP27" i="44"/>
  <c r="L46" i="44" s="1"/>
  <c r="AJ15" i="42"/>
  <c r="G43" i="42" s="1"/>
  <c r="M21" i="54" l="1"/>
  <c r="N21" i="54" s="1"/>
  <c r="M44" i="54"/>
  <c r="AQ27" i="54"/>
  <c r="M46" i="54" s="1"/>
  <c r="AQ28" i="54"/>
  <c r="M47" i="54" s="1"/>
  <c r="I46" i="54"/>
  <c r="AL19" i="54"/>
  <c r="AM18" i="54"/>
  <c r="AN18" i="54" s="1"/>
  <c r="J46" i="54" s="1"/>
  <c r="C31" i="53"/>
  <c r="E31" i="53"/>
  <c r="AB37" i="53" s="1"/>
  <c r="H31" i="53"/>
  <c r="I47" i="53"/>
  <c r="AL20" i="53"/>
  <c r="AM19" i="53"/>
  <c r="AN19" i="53" s="1"/>
  <c r="J47" i="53" s="1"/>
  <c r="AQ28" i="53"/>
  <c r="M44" i="53"/>
  <c r="AQ27" i="53"/>
  <c r="M46" i="53" s="1"/>
  <c r="M21" i="52"/>
  <c r="N21" i="52" s="1"/>
  <c r="I46" i="52"/>
  <c r="AL19" i="52"/>
  <c r="AM18" i="52"/>
  <c r="AN18" i="52" s="1"/>
  <c r="J46" i="52" s="1"/>
  <c r="AQ28" i="52"/>
  <c r="M47" i="52" s="1"/>
  <c r="M44" i="52"/>
  <c r="AQ27" i="52"/>
  <c r="M46" i="52" s="1"/>
  <c r="L43" i="52"/>
  <c r="AP28" i="52"/>
  <c r="L47" i="52" s="1"/>
  <c r="I48" i="47"/>
  <c r="AL21" i="47"/>
  <c r="AM20" i="47"/>
  <c r="AN20" i="47" s="1"/>
  <c r="J48" i="47" s="1"/>
  <c r="AP28" i="47"/>
  <c r="L47" i="47" s="1"/>
  <c r="L43" i="47"/>
  <c r="I21" i="47"/>
  <c r="K21" i="47" s="1"/>
  <c r="F21" i="47"/>
  <c r="H21" i="47" s="1"/>
  <c r="L21" i="47" s="1"/>
  <c r="I46" i="45"/>
  <c r="AL19" i="45"/>
  <c r="AM18" i="45"/>
  <c r="AN18" i="45" s="1"/>
  <c r="J46" i="45" s="1"/>
  <c r="I26" i="45"/>
  <c r="J24" i="45" s="1"/>
  <c r="M21" i="45"/>
  <c r="N21" i="45" s="1"/>
  <c r="AQ28" i="45"/>
  <c r="M47" i="45" s="1"/>
  <c r="M44" i="45"/>
  <c r="AQ27" i="45"/>
  <c r="M46" i="45" s="1"/>
  <c r="M21" i="44"/>
  <c r="N21" i="44" s="1"/>
  <c r="I46" i="44"/>
  <c r="AL19" i="44"/>
  <c r="AM18" i="44"/>
  <c r="AN18" i="44" s="1"/>
  <c r="J46" i="44" s="1"/>
  <c r="L43" i="44"/>
  <c r="AP28" i="44"/>
  <c r="L47" i="44" s="1"/>
  <c r="AQ28" i="44"/>
  <c r="M47" i="44" s="1"/>
  <c r="M44" i="44"/>
  <c r="AQ27" i="44"/>
  <c r="M46" i="44" s="1"/>
  <c r="O5" i="42"/>
  <c r="N5" i="42"/>
  <c r="M5" i="42"/>
  <c r="L5" i="42"/>
  <c r="K5" i="42"/>
  <c r="J5" i="42"/>
  <c r="I5" i="42"/>
  <c r="G5" i="42"/>
  <c r="D5" i="42"/>
  <c r="I10" i="42"/>
  <c r="G10" i="42"/>
  <c r="F10" i="42"/>
  <c r="E10" i="42"/>
  <c r="D10" i="42"/>
  <c r="J19" i="5"/>
  <c r="J20" i="5"/>
  <c r="J18" i="5"/>
  <c r="I47" i="54" l="1"/>
  <c r="AL20" i="54"/>
  <c r="AM19" i="54"/>
  <c r="AN19" i="54" s="1"/>
  <c r="J47" i="54" s="1"/>
  <c r="C31" i="54"/>
  <c r="E31" i="54"/>
  <c r="AB37" i="54" s="1"/>
  <c r="H31" i="54"/>
  <c r="J31" i="54" s="1"/>
  <c r="AG37" i="54" s="1"/>
  <c r="I26" i="54"/>
  <c r="J24" i="54" s="1"/>
  <c r="M47" i="53"/>
  <c r="I26" i="53"/>
  <c r="J24" i="53" s="1"/>
  <c r="AY37" i="53"/>
  <c r="AY35" i="53"/>
  <c r="AY31" i="53"/>
  <c r="C65" i="53"/>
  <c r="AY34" i="53"/>
  <c r="AY30" i="53"/>
  <c r="AY33" i="53"/>
  <c r="AY29" i="53"/>
  <c r="AY32" i="53"/>
  <c r="AY25" i="53"/>
  <c r="AY18" i="53"/>
  <c r="AY15" i="53"/>
  <c r="AY27" i="53"/>
  <c r="AY26" i="53"/>
  <c r="AY24" i="53"/>
  <c r="AY23" i="53"/>
  <c r="AY17" i="53"/>
  <c r="AY22" i="53"/>
  <c r="AY20" i="53"/>
  <c r="AY16" i="53"/>
  <c r="AY36" i="53"/>
  <c r="AY21" i="53"/>
  <c r="AY28" i="53"/>
  <c r="AY19" i="53"/>
  <c r="K31" i="53"/>
  <c r="I31" i="53"/>
  <c r="I48" i="53"/>
  <c r="AL21" i="53"/>
  <c r="AM20" i="53"/>
  <c r="AN20" i="53" s="1"/>
  <c r="J48" i="53" s="1"/>
  <c r="F31" i="53"/>
  <c r="D31" i="53"/>
  <c r="J31" i="53"/>
  <c r="AG37" i="53" s="1"/>
  <c r="I47" i="52"/>
  <c r="AL20" i="52"/>
  <c r="AM19" i="52"/>
  <c r="AN19" i="52" s="1"/>
  <c r="J47" i="52" s="1"/>
  <c r="J31" i="52"/>
  <c r="AG37" i="52" s="1"/>
  <c r="C31" i="52"/>
  <c r="E31" i="52"/>
  <c r="AB37" i="52" s="1"/>
  <c r="H31" i="52"/>
  <c r="I26" i="52"/>
  <c r="J24" i="52" s="1"/>
  <c r="AL22" i="47"/>
  <c r="I49" i="47"/>
  <c r="AM21" i="47"/>
  <c r="AN21" i="47" s="1"/>
  <c r="J49" i="47" s="1"/>
  <c r="I26" i="47"/>
  <c r="J24" i="47" s="1"/>
  <c r="M21" i="47"/>
  <c r="N21" i="47" s="1"/>
  <c r="I47" i="45"/>
  <c r="AL20" i="45"/>
  <c r="AM19" i="45"/>
  <c r="AN19" i="45" s="1"/>
  <c r="J47" i="45" s="1"/>
  <c r="C31" i="45"/>
  <c r="E31" i="45"/>
  <c r="AB37" i="45" s="1"/>
  <c r="H31" i="45"/>
  <c r="I47" i="44"/>
  <c r="AL20" i="44"/>
  <c r="AM19" i="44"/>
  <c r="AN19" i="44" s="1"/>
  <c r="J47" i="44" s="1"/>
  <c r="J31" i="44"/>
  <c r="AG37" i="44" s="1"/>
  <c r="C31" i="44"/>
  <c r="H31" i="44"/>
  <c r="E31" i="44"/>
  <c r="AB37" i="44" s="1"/>
  <c r="I26" i="44"/>
  <c r="J24" i="44" s="1"/>
  <c r="J10" i="42"/>
  <c r="AV17" i="42"/>
  <c r="AV25" i="42"/>
  <c r="AV33" i="42"/>
  <c r="AV28" i="42"/>
  <c r="AV37" i="42"/>
  <c r="AV15" i="42"/>
  <c r="AV23" i="42"/>
  <c r="AV16" i="42"/>
  <c r="AV32" i="42"/>
  <c r="AV18" i="42"/>
  <c r="AV26" i="42"/>
  <c r="AV34" i="42"/>
  <c r="AV36" i="42"/>
  <c r="AV21" i="42"/>
  <c r="AV30" i="42"/>
  <c r="AV19" i="42"/>
  <c r="AV27" i="42"/>
  <c r="AV35" i="42"/>
  <c r="AV20" i="42"/>
  <c r="AV29" i="42"/>
  <c r="AV22" i="42"/>
  <c r="AV31" i="42"/>
  <c r="AV24" i="42"/>
  <c r="L45" i="42"/>
  <c r="AQ26" i="42"/>
  <c r="M45" i="42" s="1"/>
  <c r="AQ17" i="42"/>
  <c r="AZ34" i="54" l="1"/>
  <c r="AZ30" i="54"/>
  <c r="AZ33" i="54"/>
  <c r="AZ36" i="54"/>
  <c r="AZ32" i="54"/>
  <c r="AZ28" i="54"/>
  <c r="F65" i="54"/>
  <c r="AZ31" i="54"/>
  <c r="AZ27" i="54"/>
  <c r="AZ25" i="54"/>
  <c r="AZ18" i="54"/>
  <c r="AZ15" i="54"/>
  <c r="AZ29" i="54"/>
  <c r="AZ26" i="54"/>
  <c r="AZ24" i="54"/>
  <c r="AZ23" i="54"/>
  <c r="AZ19" i="54"/>
  <c r="AZ35" i="54"/>
  <c r="AZ37" i="54"/>
  <c r="AZ22" i="54"/>
  <c r="AZ17" i="54"/>
  <c r="AZ21" i="54"/>
  <c r="AZ16" i="54"/>
  <c r="AZ20" i="54"/>
  <c r="K31" i="54"/>
  <c r="I31" i="54"/>
  <c r="AY37" i="54"/>
  <c r="AY35" i="54"/>
  <c r="AY31" i="54"/>
  <c r="C65" i="54"/>
  <c r="AY34" i="54"/>
  <c r="AY30" i="54"/>
  <c r="AY33" i="54"/>
  <c r="AY29" i="54"/>
  <c r="AY32" i="54"/>
  <c r="AY21" i="54"/>
  <c r="AY19" i="54"/>
  <c r="AY27" i="54"/>
  <c r="AY25" i="54"/>
  <c r="AY18" i="54"/>
  <c r="AY20" i="54"/>
  <c r="AY15" i="54"/>
  <c r="AY28" i="54"/>
  <c r="AY26" i="54"/>
  <c r="AY23" i="54"/>
  <c r="AY36" i="54"/>
  <c r="AY22" i="54"/>
  <c r="AY17" i="54"/>
  <c r="AY24" i="54"/>
  <c r="AY16" i="54"/>
  <c r="I48" i="54"/>
  <c r="AL21" i="54"/>
  <c r="AM20" i="54"/>
  <c r="AN20" i="54" s="1"/>
  <c r="J48" i="54" s="1"/>
  <c r="F31" i="54"/>
  <c r="D31" i="54"/>
  <c r="AH16" i="53"/>
  <c r="AG17" i="53"/>
  <c r="Q5" i="53"/>
  <c r="AL22" i="53"/>
  <c r="I49" i="53"/>
  <c r="AM21" i="53"/>
  <c r="AN21" i="53" s="1"/>
  <c r="J49" i="53" s="1"/>
  <c r="AZ34" i="53"/>
  <c r="AZ30" i="53"/>
  <c r="AZ33" i="53"/>
  <c r="AZ29" i="53"/>
  <c r="AZ36" i="53"/>
  <c r="AZ32" i="53"/>
  <c r="AZ28" i="53"/>
  <c r="F65" i="53"/>
  <c r="AZ31" i="53"/>
  <c r="AZ27" i="53"/>
  <c r="AZ26" i="53"/>
  <c r="AZ24" i="53"/>
  <c r="AZ23" i="53"/>
  <c r="AZ17" i="53"/>
  <c r="AZ22" i="53"/>
  <c r="AZ20" i="53"/>
  <c r="AZ16" i="53"/>
  <c r="AZ21" i="53"/>
  <c r="AZ19" i="53"/>
  <c r="AZ25" i="53"/>
  <c r="AZ18" i="53"/>
  <c r="AZ35" i="53"/>
  <c r="AZ15" i="53"/>
  <c r="AZ37" i="53"/>
  <c r="AC16" i="53"/>
  <c r="AB17" i="53"/>
  <c r="AZ34" i="52"/>
  <c r="AZ30" i="52"/>
  <c r="AZ33" i="52"/>
  <c r="AZ29" i="52"/>
  <c r="AZ36" i="52"/>
  <c r="F65" i="52"/>
  <c r="AZ32" i="52"/>
  <c r="AZ26" i="52"/>
  <c r="AZ24" i="52"/>
  <c r="AZ23" i="52"/>
  <c r="AZ17" i="52"/>
  <c r="AZ31" i="52"/>
  <c r="AZ22" i="52"/>
  <c r="AZ20" i="52"/>
  <c r="AZ37" i="52"/>
  <c r="AZ35" i="52"/>
  <c r="AZ28" i="52"/>
  <c r="AZ21" i="52"/>
  <c r="AZ19" i="52"/>
  <c r="AZ27" i="52"/>
  <c r="AZ25" i="52"/>
  <c r="AZ18" i="52"/>
  <c r="AZ16" i="52"/>
  <c r="AZ15" i="52"/>
  <c r="K31" i="52"/>
  <c r="I31" i="52"/>
  <c r="AY37" i="52"/>
  <c r="AY35" i="52"/>
  <c r="AY31" i="52"/>
  <c r="C65" i="52"/>
  <c r="AY34" i="52"/>
  <c r="AY30" i="52"/>
  <c r="AY33" i="52"/>
  <c r="AY27" i="52"/>
  <c r="AY25" i="52"/>
  <c r="AY18" i="52"/>
  <c r="AY15" i="52"/>
  <c r="AY32" i="52"/>
  <c r="AY26" i="52"/>
  <c r="AY24" i="52"/>
  <c r="AY23" i="52"/>
  <c r="AY36" i="52"/>
  <c r="AY29" i="52"/>
  <c r="AY22" i="52"/>
  <c r="AY20" i="52"/>
  <c r="AY28" i="52"/>
  <c r="AY21" i="52"/>
  <c r="AY19" i="52"/>
  <c r="AY17" i="52"/>
  <c r="AY16" i="52"/>
  <c r="I48" i="52"/>
  <c r="AL21" i="52"/>
  <c r="AM20" i="52"/>
  <c r="AN20" i="52" s="1"/>
  <c r="J48" i="52" s="1"/>
  <c r="F31" i="52"/>
  <c r="D31" i="52"/>
  <c r="C31" i="47"/>
  <c r="H31" i="47"/>
  <c r="E31" i="47"/>
  <c r="AB37" i="47" s="1"/>
  <c r="I50" i="47"/>
  <c r="AL23" i="47"/>
  <c r="AM22" i="47"/>
  <c r="AN22" i="47" s="1"/>
  <c r="J50" i="47" s="1"/>
  <c r="K31" i="45"/>
  <c r="I31" i="45"/>
  <c r="J31" i="45"/>
  <c r="AG37" i="45" s="1"/>
  <c r="AY37" i="45"/>
  <c r="AY35" i="45"/>
  <c r="AY31" i="45"/>
  <c r="C65" i="45"/>
  <c r="AY34" i="45"/>
  <c r="AY30" i="45"/>
  <c r="AY33" i="45"/>
  <c r="AY32" i="45"/>
  <c r="AY21" i="45"/>
  <c r="AY19" i="45"/>
  <c r="AY29" i="45"/>
  <c r="AY27" i="45"/>
  <c r="AY25" i="45"/>
  <c r="AY20" i="45"/>
  <c r="AY16" i="45"/>
  <c r="AY36" i="45"/>
  <c r="AY24" i="45"/>
  <c r="AY28" i="45"/>
  <c r="AY26" i="45"/>
  <c r="AY23" i="45"/>
  <c r="AY18" i="45"/>
  <c r="AY22" i="45"/>
  <c r="AY17" i="45"/>
  <c r="AY15" i="45"/>
  <c r="I48" i="45"/>
  <c r="AL21" i="45"/>
  <c r="AM20" i="45"/>
  <c r="AN20" i="45" s="1"/>
  <c r="J48" i="45" s="1"/>
  <c r="F31" i="45"/>
  <c r="D31" i="45"/>
  <c r="AZ34" i="44"/>
  <c r="AZ30" i="44"/>
  <c r="AZ33" i="44"/>
  <c r="AZ29" i="44"/>
  <c r="AZ32" i="44"/>
  <c r="AZ22" i="44"/>
  <c r="AZ20" i="44"/>
  <c r="F65" i="44"/>
  <c r="AZ31" i="44"/>
  <c r="AZ27" i="44"/>
  <c r="AZ36" i="44"/>
  <c r="AZ28" i="44"/>
  <c r="AZ25" i="44"/>
  <c r="AZ26" i="44"/>
  <c r="AZ23" i="44"/>
  <c r="AZ17" i="44"/>
  <c r="AZ37" i="44"/>
  <c r="AZ35" i="44"/>
  <c r="AZ21" i="44"/>
  <c r="AZ16" i="44"/>
  <c r="AZ24" i="44"/>
  <c r="AZ19" i="44"/>
  <c r="AZ18" i="44"/>
  <c r="AZ15" i="44"/>
  <c r="AY37" i="44"/>
  <c r="AY35" i="44"/>
  <c r="AY31" i="44"/>
  <c r="C65" i="44"/>
  <c r="AY34" i="44"/>
  <c r="AY30" i="44"/>
  <c r="AY33" i="44"/>
  <c r="AY26" i="44"/>
  <c r="AY24" i="44"/>
  <c r="AY23" i="44"/>
  <c r="AY32" i="44"/>
  <c r="AY29" i="44"/>
  <c r="AY27" i="44"/>
  <c r="AY21" i="44"/>
  <c r="AY19" i="44"/>
  <c r="AY18" i="44"/>
  <c r="AY15" i="44"/>
  <c r="AY28" i="44"/>
  <c r="AY25" i="44"/>
  <c r="AY22" i="44"/>
  <c r="AY17" i="44"/>
  <c r="AY16" i="44"/>
  <c r="AY36" i="44"/>
  <c r="AY20" i="44"/>
  <c r="K31" i="44"/>
  <c r="I31" i="44"/>
  <c r="I48" i="44"/>
  <c r="AL21" i="44"/>
  <c r="AM20" i="44"/>
  <c r="AN20" i="44" s="1"/>
  <c r="J48" i="44" s="1"/>
  <c r="F31" i="44"/>
  <c r="D31" i="44"/>
  <c r="AP17" i="42"/>
  <c r="I44" i="42"/>
  <c r="C44" i="42"/>
  <c r="I43" i="42"/>
  <c r="C43" i="42"/>
  <c r="AN15" i="42"/>
  <c r="J43" i="42" s="1"/>
  <c r="AE15" i="42"/>
  <c r="D43" i="42" s="1"/>
  <c r="G15" i="42"/>
  <c r="G18" i="42" s="1"/>
  <c r="F15" i="42"/>
  <c r="I49" i="54" l="1"/>
  <c r="AL22" i="54"/>
  <c r="AM21" i="54"/>
  <c r="AN21" i="54" s="1"/>
  <c r="J49" i="54" s="1"/>
  <c r="AB17" i="54"/>
  <c r="AC16" i="54"/>
  <c r="AG17" i="54"/>
  <c r="AH16" i="54"/>
  <c r="Q5" i="54"/>
  <c r="C45" i="53"/>
  <c r="AB18" i="53"/>
  <c r="AC17" i="53"/>
  <c r="I50" i="53"/>
  <c r="AL23" i="53"/>
  <c r="AM22" i="53"/>
  <c r="AN22" i="53" s="1"/>
  <c r="J50" i="53" s="1"/>
  <c r="F45" i="53"/>
  <c r="AG18" i="53"/>
  <c r="AH17" i="53"/>
  <c r="AB17" i="52"/>
  <c r="AC16" i="52"/>
  <c r="AG17" i="52"/>
  <c r="AH16" i="52"/>
  <c r="Q5" i="52"/>
  <c r="AL22" i="52"/>
  <c r="I49" i="52"/>
  <c r="AM21" i="52"/>
  <c r="AN21" i="52" s="1"/>
  <c r="J49" i="52" s="1"/>
  <c r="AY37" i="47"/>
  <c r="AY35" i="47"/>
  <c r="AY31" i="47"/>
  <c r="C65" i="47"/>
  <c r="AY34" i="47"/>
  <c r="AY30" i="47"/>
  <c r="AY28" i="47"/>
  <c r="AY27" i="47"/>
  <c r="AY25" i="47"/>
  <c r="AY36" i="47"/>
  <c r="AY26" i="47"/>
  <c r="AY24" i="47"/>
  <c r="AY23" i="47"/>
  <c r="AY33" i="47"/>
  <c r="AY22" i="47"/>
  <c r="AY32" i="47"/>
  <c r="AY29" i="47"/>
  <c r="AY20" i="47"/>
  <c r="AY18" i="47"/>
  <c r="AY16" i="47"/>
  <c r="AY19" i="47"/>
  <c r="AY21" i="47"/>
  <c r="AY17" i="47"/>
  <c r="AY15" i="47"/>
  <c r="K31" i="47"/>
  <c r="I31" i="47"/>
  <c r="I51" i="47"/>
  <c r="AL24" i="47"/>
  <c r="AM23" i="47"/>
  <c r="AN23" i="47" s="1"/>
  <c r="J51" i="47" s="1"/>
  <c r="F31" i="47"/>
  <c r="D31" i="47"/>
  <c r="J31" i="47"/>
  <c r="AG37" i="47" s="1"/>
  <c r="AG17" i="45"/>
  <c r="Q5" i="45"/>
  <c r="AH16" i="45"/>
  <c r="AB17" i="45"/>
  <c r="AC16" i="45"/>
  <c r="AZ34" i="45"/>
  <c r="AZ30" i="45"/>
  <c r="AZ33" i="45"/>
  <c r="AZ29" i="45"/>
  <c r="AZ32" i="45"/>
  <c r="F65" i="45"/>
  <c r="AZ31" i="45"/>
  <c r="AZ27" i="45"/>
  <c r="AZ25" i="45"/>
  <c r="AZ18" i="45"/>
  <c r="AZ36" i="45"/>
  <c r="AZ28" i="45"/>
  <c r="AZ26" i="45"/>
  <c r="AZ24" i="45"/>
  <c r="AZ23" i="45"/>
  <c r="AZ19" i="45"/>
  <c r="AZ16" i="45"/>
  <c r="AZ37" i="45"/>
  <c r="AZ35" i="45"/>
  <c r="AZ22" i="45"/>
  <c r="AZ21" i="45"/>
  <c r="AZ17" i="45"/>
  <c r="AZ15" i="45"/>
  <c r="AZ20" i="45"/>
  <c r="I49" i="45"/>
  <c r="AL22" i="45"/>
  <c r="AM21" i="45"/>
  <c r="AN21" i="45" s="1"/>
  <c r="J49" i="45" s="1"/>
  <c r="I49" i="44"/>
  <c r="AL22" i="44"/>
  <c r="AM21" i="44"/>
  <c r="AN21" i="44" s="1"/>
  <c r="J49" i="44" s="1"/>
  <c r="AC16" i="44"/>
  <c r="AB17" i="44"/>
  <c r="AH16" i="44"/>
  <c r="Q5" i="44"/>
  <c r="AG17" i="44"/>
  <c r="G24" i="42"/>
  <c r="F18" i="42"/>
  <c r="J21" i="42"/>
  <c r="AQ24" i="42"/>
  <c r="AQ15" i="42"/>
  <c r="AQ16" i="42" s="1"/>
  <c r="AQ18" i="42" s="1"/>
  <c r="AQ19" i="42" s="1"/>
  <c r="AM37" i="42"/>
  <c r="AN37" i="42" s="1"/>
  <c r="C45" i="54" l="1"/>
  <c r="AB18" i="54"/>
  <c r="AC17" i="54"/>
  <c r="F45" i="54"/>
  <c r="AH17" i="54"/>
  <c r="AG18" i="54"/>
  <c r="I50" i="54"/>
  <c r="AL23" i="54"/>
  <c r="AM22" i="54"/>
  <c r="AN22" i="54" s="1"/>
  <c r="J50" i="54" s="1"/>
  <c r="C46" i="53"/>
  <c r="AB19" i="53"/>
  <c r="AC18" i="53"/>
  <c r="F46" i="53"/>
  <c r="AG19" i="53"/>
  <c r="AH18" i="53"/>
  <c r="AL24" i="53"/>
  <c r="I51" i="53"/>
  <c r="AM23" i="53"/>
  <c r="AN23" i="53" s="1"/>
  <c r="J51" i="53" s="1"/>
  <c r="F45" i="52"/>
  <c r="AG18" i="52"/>
  <c r="AH17" i="52"/>
  <c r="I50" i="52"/>
  <c r="AL23" i="52"/>
  <c r="AM22" i="52"/>
  <c r="AN22" i="52" s="1"/>
  <c r="J50" i="52" s="1"/>
  <c r="C45" i="52"/>
  <c r="AB18" i="52"/>
  <c r="AC17" i="52"/>
  <c r="AB17" i="47"/>
  <c r="AC16" i="47"/>
  <c r="AZ34" i="47"/>
  <c r="AZ30" i="47"/>
  <c r="AZ33" i="47"/>
  <c r="AZ29" i="47"/>
  <c r="F65" i="47"/>
  <c r="AZ36" i="47"/>
  <c r="AZ26" i="47"/>
  <c r="AZ24" i="47"/>
  <c r="AZ23" i="47"/>
  <c r="AZ37" i="47"/>
  <c r="AZ35" i="47"/>
  <c r="AZ22" i="47"/>
  <c r="AZ20" i="47"/>
  <c r="AZ32" i="47"/>
  <c r="AZ25" i="47"/>
  <c r="AZ19" i="47"/>
  <c r="AZ15" i="47"/>
  <c r="AZ28" i="47"/>
  <c r="AZ16" i="47"/>
  <c r="AZ31" i="47"/>
  <c r="AZ21" i="47"/>
  <c r="AZ17" i="47"/>
  <c r="AZ27" i="47"/>
  <c r="AZ18" i="47"/>
  <c r="AH16" i="47"/>
  <c r="AG17" i="47"/>
  <c r="Q5" i="47"/>
  <c r="I52" i="47"/>
  <c r="AL25" i="47"/>
  <c r="AM24" i="47"/>
  <c r="AN24" i="47" s="1"/>
  <c r="J52" i="47" s="1"/>
  <c r="C45" i="45"/>
  <c r="AC17" i="45"/>
  <c r="AB18" i="45"/>
  <c r="I50" i="45"/>
  <c r="AL23" i="45"/>
  <c r="AM22" i="45"/>
  <c r="AN22" i="45" s="1"/>
  <c r="J50" i="45" s="1"/>
  <c r="F45" i="45"/>
  <c r="AG18" i="45"/>
  <c r="AH17" i="45"/>
  <c r="C45" i="44"/>
  <c r="AB18" i="44"/>
  <c r="AC17" i="44"/>
  <c r="F45" i="44"/>
  <c r="AG18" i="44"/>
  <c r="AH17" i="44"/>
  <c r="I50" i="44"/>
  <c r="AL23" i="44"/>
  <c r="AM22" i="44"/>
  <c r="AN22" i="44" s="1"/>
  <c r="J50" i="44" s="1"/>
  <c r="J65" i="42"/>
  <c r="H18" i="42"/>
  <c r="K18" i="42" s="1"/>
  <c r="M18" i="42" s="1"/>
  <c r="C26" i="42"/>
  <c r="D24" i="42" s="1"/>
  <c r="I18" i="42"/>
  <c r="L18" i="42" s="1"/>
  <c r="N18" i="42" s="1"/>
  <c r="M43" i="42"/>
  <c r="AQ25" i="42"/>
  <c r="F46" i="54" l="1"/>
  <c r="AG19" i="54"/>
  <c r="AH18" i="54"/>
  <c r="AL24" i="54"/>
  <c r="I51" i="54"/>
  <c r="AM23" i="54"/>
  <c r="AN23" i="54" s="1"/>
  <c r="J51" i="54" s="1"/>
  <c r="C46" i="54"/>
  <c r="AC18" i="54"/>
  <c r="AB19" i="54"/>
  <c r="AG20" i="53"/>
  <c r="AH19" i="53"/>
  <c r="F47" i="53"/>
  <c r="C47" i="53"/>
  <c r="AB20" i="53"/>
  <c r="AC19" i="53"/>
  <c r="I52" i="53"/>
  <c r="AL25" i="53"/>
  <c r="AM24" i="53"/>
  <c r="AN24" i="53" s="1"/>
  <c r="J52" i="53" s="1"/>
  <c r="I51" i="52"/>
  <c r="AL24" i="52"/>
  <c r="AM23" i="52"/>
  <c r="AN23" i="52" s="1"/>
  <c r="J51" i="52" s="1"/>
  <c r="AG19" i="52"/>
  <c r="AH18" i="52"/>
  <c r="F46" i="52"/>
  <c r="C46" i="52"/>
  <c r="AB19" i="52"/>
  <c r="AC18" i="52"/>
  <c r="AH17" i="47"/>
  <c r="F45" i="47"/>
  <c r="AG18" i="47"/>
  <c r="AL26" i="47"/>
  <c r="I53" i="47"/>
  <c r="AM25" i="47"/>
  <c r="AN25" i="47" s="1"/>
  <c r="J53" i="47" s="1"/>
  <c r="C45" i="47"/>
  <c r="AC17" i="47"/>
  <c r="AB18" i="47"/>
  <c r="C46" i="45"/>
  <c r="AC18" i="45"/>
  <c r="AB19" i="45"/>
  <c r="AL24" i="45"/>
  <c r="I51" i="45"/>
  <c r="AM23" i="45"/>
  <c r="AN23" i="45" s="1"/>
  <c r="J51" i="45" s="1"/>
  <c r="F46" i="45"/>
  <c r="AG19" i="45"/>
  <c r="AH18" i="45"/>
  <c r="C46" i="44"/>
  <c r="AB19" i="44"/>
  <c r="AC18" i="44"/>
  <c r="AG19" i="44"/>
  <c r="F46" i="44"/>
  <c r="AH18" i="44"/>
  <c r="AL24" i="44"/>
  <c r="I51" i="44"/>
  <c r="AM23" i="44"/>
  <c r="AN23" i="44" s="1"/>
  <c r="J51" i="44" s="1"/>
  <c r="F21" i="42"/>
  <c r="H21" i="42" s="1"/>
  <c r="E21" i="42"/>
  <c r="G21" i="42" s="1"/>
  <c r="AP25" i="42"/>
  <c r="L44" i="42" s="1"/>
  <c r="AP16" i="42"/>
  <c r="AP18" i="42" s="1"/>
  <c r="M44" i="42"/>
  <c r="AQ27" i="42"/>
  <c r="M46" i="42" s="1"/>
  <c r="AQ28" i="42"/>
  <c r="M47" i="42" s="1"/>
  <c r="C47" i="54" l="1"/>
  <c r="AB20" i="54"/>
  <c r="AC19" i="54"/>
  <c r="F47" i="54"/>
  <c r="AG20" i="54"/>
  <c r="AH19" i="54"/>
  <c r="I52" i="54"/>
  <c r="AL25" i="54"/>
  <c r="AM24" i="54"/>
  <c r="AN24" i="54" s="1"/>
  <c r="J52" i="54" s="1"/>
  <c r="I53" i="53"/>
  <c r="AL26" i="53"/>
  <c r="AM25" i="53"/>
  <c r="AN25" i="53" s="1"/>
  <c r="J53" i="53" s="1"/>
  <c r="C48" i="53"/>
  <c r="AB21" i="53"/>
  <c r="AC20" i="53"/>
  <c r="F48" i="53"/>
  <c r="AG21" i="53"/>
  <c r="AH20" i="53"/>
  <c r="C47" i="52"/>
  <c r="AB20" i="52"/>
  <c r="AC19" i="52"/>
  <c r="I52" i="52"/>
  <c r="AL25" i="52"/>
  <c r="AM24" i="52"/>
  <c r="AN24" i="52" s="1"/>
  <c r="J52" i="52" s="1"/>
  <c r="AG20" i="52"/>
  <c r="AH19" i="52"/>
  <c r="F47" i="52"/>
  <c r="I54" i="47"/>
  <c r="AL27" i="47"/>
  <c r="AM26" i="47"/>
  <c r="AN26" i="47" s="1"/>
  <c r="J54" i="47" s="1"/>
  <c r="AG19" i="47"/>
  <c r="AH18" i="47"/>
  <c r="F46" i="47"/>
  <c r="C46" i="47"/>
  <c r="AB19" i="47"/>
  <c r="AC18" i="47"/>
  <c r="I52" i="45"/>
  <c r="AL25" i="45"/>
  <c r="AM24" i="45"/>
  <c r="AN24" i="45" s="1"/>
  <c r="J52" i="45" s="1"/>
  <c r="C47" i="45"/>
  <c r="AB20" i="45"/>
  <c r="AC19" i="45"/>
  <c r="F47" i="45"/>
  <c r="AG20" i="45"/>
  <c r="AH19" i="45"/>
  <c r="C47" i="44"/>
  <c r="AC19" i="44"/>
  <c r="AB20" i="44"/>
  <c r="I52" i="44"/>
  <c r="AL25" i="44"/>
  <c r="AM24" i="44"/>
  <c r="AN24" i="44" s="1"/>
  <c r="J52" i="44" s="1"/>
  <c r="F47" i="44"/>
  <c r="AG20" i="44"/>
  <c r="AH19" i="44"/>
  <c r="L21" i="42"/>
  <c r="M21" i="42" s="1"/>
  <c r="N21" i="42" s="1"/>
  <c r="I21" i="42"/>
  <c r="K21" i="42" s="1"/>
  <c r="AP27" i="42"/>
  <c r="L46" i="42" s="1"/>
  <c r="F48" i="54" l="1"/>
  <c r="AH20" i="54"/>
  <c r="AG21" i="54"/>
  <c r="C48" i="54"/>
  <c r="AC20" i="54"/>
  <c r="AB21" i="54"/>
  <c r="I53" i="54"/>
  <c r="AL26" i="54"/>
  <c r="AM25" i="54"/>
  <c r="AN25" i="54" s="1"/>
  <c r="J53" i="54" s="1"/>
  <c r="I54" i="53"/>
  <c r="AL27" i="53"/>
  <c r="AM26" i="53"/>
  <c r="AN26" i="53" s="1"/>
  <c r="J54" i="53" s="1"/>
  <c r="F49" i="53"/>
  <c r="AG22" i="53"/>
  <c r="AH21" i="53"/>
  <c r="AB22" i="53"/>
  <c r="AC21" i="53"/>
  <c r="C49" i="53"/>
  <c r="AG21" i="52"/>
  <c r="F48" i="52"/>
  <c r="AH20" i="52"/>
  <c r="AL26" i="52"/>
  <c r="I53" i="52"/>
  <c r="AM25" i="52"/>
  <c r="AN25" i="52" s="1"/>
  <c r="J53" i="52" s="1"/>
  <c r="C48" i="52"/>
  <c r="AB21" i="52"/>
  <c r="AC20" i="52"/>
  <c r="AG20" i="47"/>
  <c r="F47" i="47"/>
  <c r="AH19" i="47"/>
  <c r="AL28" i="47"/>
  <c r="I55" i="47"/>
  <c r="AM27" i="47"/>
  <c r="AN27" i="47" s="1"/>
  <c r="J55" i="47" s="1"/>
  <c r="C47" i="47"/>
  <c r="AB20" i="47"/>
  <c r="AC19" i="47"/>
  <c r="F48" i="45"/>
  <c r="AH20" i="45"/>
  <c r="AG21" i="45"/>
  <c r="C48" i="45"/>
  <c r="AC20" i="45"/>
  <c r="AB21" i="45"/>
  <c r="AL26" i="45"/>
  <c r="I53" i="45"/>
  <c r="AM25" i="45"/>
  <c r="AN25" i="45" s="1"/>
  <c r="J53" i="45" s="1"/>
  <c r="AG21" i="44"/>
  <c r="F48" i="44"/>
  <c r="AH20" i="44"/>
  <c r="C48" i="44"/>
  <c r="AB21" i="44"/>
  <c r="AC20" i="44"/>
  <c r="I53" i="44"/>
  <c r="AL26" i="44"/>
  <c r="AM25" i="44"/>
  <c r="AN25" i="44" s="1"/>
  <c r="J53" i="44" s="1"/>
  <c r="I26" i="42"/>
  <c r="J24" i="42" s="1"/>
  <c r="H31" i="42"/>
  <c r="J31" i="42" s="1"/>
  <c r="AG37" i="42" s="1"/>
  <c r="AZ34" i="42" s="1"/>
  <c r="C31" i="42"/>
  <c r="F31" i="42" s="1"/>
  <c r="E31" i="42"/>
  <c r="AB22" i="54" l="1"/>
  <c r="AC21" i="54"/>
  <c r="C49" i="54"/>
  <c r="F49" i="54"/>
  <c r="AG22" i="54"/>
  <c r="AH21" i="54"/>
  <c r="AL27" i="54"/>
  <c r="I54" i="54"/>
  <c r="AM26" i="54"/>
  <c r="AN26" i="54" s="1"/>
  <c r="J54" i="54" s="1"/>
  <c r="C50" i="53"/>
  <c r="AB23" i="53"/>
  <c r="AC22" i="53"/>
  <c r="AL28" i="53"/>
  <c r="I55" i="53"/>
  <c r="AM27" i="53"/>
  <c r="AN27" i="53" s="1"/>
  <c r="J55" i="53" s="1"/>
  <c r="F50" i="53"/>
  <c r="AG23" i="53"/>
  <c r="AH22" i="53"/>
  <c r="I54" i="52"/>
  <c r="AL27" i="52"/>
  <c r="AM26" i="52"/>
  <c r="AN26" i="52" s="1"/>
  <c r="J54" i="52" s="1"/>
  <c r="F49" i="52"/>
  <c r="AG22" i="52"/>
  <c r="AH21" i="52"/>
  <c r="AB22" i="52"/>
  <c r="AC21" i="52"/>
  <c r="C49" i="52"/>
  <c r="C48" i="47"/>
  <c r="AB21" i="47"/>
  <c r="AC20" i="47"/>
  <c r="AL29" i="47"/>
  <c r="I56" i="47"/>
  <c r="AM28" i="47"/>
  <c r="AN28" i="47" s="1"/>
  <c r="J56" i="47" s="1"/>
  <c r="AG21" i="47"/>
  <c r="F48" i="47"/>
  <c r="AH20" i="47"/>
  <c r="F49" i="45"/>
  <c r="AG22" i="45"/>
  <c r="AH21" i="45"/>
  <c r="AB22" i="45"/>
  <c r="AC21" i="45"/>
  <c r="C49" i="45"/>
  <c r="I54" i="45"/>
  <c r="AL27" i="45"/>
  <c r="AM26" i="45"/>
  <c r="AN26" i="45" s="1"/>
  <c r="J54" i="45" s="1"/>
  <c r="I54" i="44"/>
  <c r="AL27" i="44"/>
  <c r="AM26" i="44"/>
  <c r="AN26" i="44" s="1"/>
  <c r="J54" i="44" s="1"/>
  <c r="AB22" i="44"/>
  <c r="AC21" i="44"/>
  <c r="C49" i="44"/>
  <c r="F49" i="44"/>
  <c r="AG22" i="44"/>
  <c r="AH21" i="44"/>
  <c r="AZ18" i="42"/>
  <c r="AZ15" i="42"/>
  <c r="AZ37" i="42"/>
  <c r="AZ24" i="42"/>
  <c r="AZ20" i="42"/>
  <c r="F65" i="42"/>
  <c r="AZ21" i="42"/>
  <c r="AZ19" i="42"/>
  <c r="AZ27" i="42"/>
  <c r="AZ25" i="42"/>
  <c r="AZ16" i="42"/>
  <c r="AZ36" i="42"/>
  <c r="AZ31" i="42"/>
  <c r="AZ22" i="42"/>
  <c r="I31" i="42"/>
  <c r="AG17" i="42" s="1"/>
  <c r="F45" i="42" s="1"/>
  <c r="AZ33" i="42"/>
  <c r="AZ26" i="42"/>
  <c r="AZ32" i="42"/>
  <c r="AZ29" i="42"/>
  <c r="AZ35" i="42"/>
  <c r="AZ28" i="42"/>
  <c r="AZ30" i="42"/>
  <c r="AZ17" i="42"/>
  <c r="AZ23" i="42"/>
  <c r="K31" i="42"/>
  <c r="H6" i="5"/>
  <c r="H7" i="5"/>
  <c r="H8" i="5"/>
  <c r="H9" i="5"/>
  <c r="H10" i="5"/>
  <c r="H11" i="5"/>
  <c r="H12" i="5"/>
  <c r="H13" i="5"/>
  <c r="H5" i="5"/>
  <c r="F50" i="54" l="1"/>
  <c r="AG23" i="54"/>
  <c r="AH22" i="54"/>
  <c r="C50" i="54"/>
  <c r="AB23" i="54"/>
  <c r="AC22" i="54"/>
  <c r="I55" i="54"/>
  <c r="AL28" i="54"/>
  <c r="AM27" i="54"/>
  <c r="AN27" i="54" s="1"/>
  <c r="J55" i="54" s="1"/>
  <c r="C51" i="53"/>
  <c r="AC23" i="53"/>
  <c r="AB24" i="53"/>
  <c r="F51" i="53"/>
  <c r="AH23" i="53"/>
  <c r="AG24" i="53"/>
  <c r="AL29" i="53"/>
  <c r="I56" i="53"/>
  <c r="AM28" i="53"/>
  <c r="AN28" i="53" s="1"/>
  <c r="J56" i="53" s="1"/>
  <c r="AL28" i="52"/>
  <c r="I55" i="52"/>
  <c r="AM27" i="52"/>
  <c r="AN27" i="52" s="1"/>
  <c r="J55" i="52" s="1"/>
  <c r="C50" i="52"/>
  <c r="AB23" i="52"/>
  <c r="AC22" i="52"/>
  <c r="F50" i="52"/>
  <c r="AG23" i="52"/>
  <c r="AH22" i="52"/>
  <c r="F49" i="47"/>
  <c r="AG22" i="47"/>
  <c r="AH21" i="47"/>
  <c r="AB22" i="47"/>
  <c r="AC21" i="47"/>
  <c r="C49" i="47"/>
  <c r="I57" i="47"/>
  <c r="AL30" i="47"/>
  <c r="AM29" i="47"/>
  <c r="AN29" i="47" s="1"/>
  <c r="J57" i="47" s="1"/>
  <c r="AG23" i="45"/>
  <c r="AH22" i="45"/>
  <c r="F50" i="45"/>
  <c r="AL28" i="45"/>
  <c r="I55" i="45"/>
  <c r="AM27" i="45"/>
  <c r="AN27" i="45" s="1"/>
  <c r="J55" i="45" s="1"/>
  <c r="C50" i="45"/>
  <c r="AB23" i="45"/>
  <c r="AC22" i="45"/>
  <c r="AG23" i="44"/>
  <c r="AH22" i="44"/>
  <c r="F50" i="44"/>
  <c r="AL28" i="44"/>
  <c r="I55" i="44"/>
  <c r="AM27" i="44"/>
  <c r="AN27" i="44" s="1"/>
  <c r="J55" i="44" s="1"/>
  <c r="C50" i="44"/>
  <c r="AB23" i="44"/>
  <c r="AC22" i="44"/>
  <c r="H5" i="42"/>
  <c r="Q5" i="42" s="1"/>
  <c r="AG18" i="42"/>
  <c r="AH18" i="42" s="1"/>
  <c r="AH16" i="42"/>
  <c r="AH17" i="42"/>
  <c r="P6" i="5"/>
  <c r="P7" i="5"/>
  <c r="P8" i="5"/>
  <c r="P9" i="5"/>
  <c r="P5" i="42" s="1"/>
  <c r="P10" i="5"/>
  <c r="P11" i="5"/>
  <c r="P12" i="5"/>
  <c r="P13" i="5"/>
  <c r="P5" i="5"/>
  <c r="H19" i="5"/>
  <c r="H20" i="5"/>
  <c r="H18" i="5"/>
  <c r="AL29" i="54" l="1"/>
  <c r="I56" i="54"/>
  <c r="AM28" i="54"/>
  <c r="AN28" i="54" s="1"/>
  <c r="J56" i="54" s="1"/>
  <c r="C51" i="54"/>
  <c r="AB24" i="54"/>
  <c r="AC23" i="54"/>
  <c r="F51" i="54"/>
  <c r="AG24" i="54"/>
  <c r="AH23" i="54"/>
  <c r="C52" i="53"/>
  <c r="AB25" i="53"/>
  <c r="AC24" i="53"/>
  <c r="F52" i="53"/>
  <c r="AG25" i="53"/>
  <c r="AH24" i="53"/>
  <c r="I57" i="53"/>
  <c r="AL30" i="53"/>
  <c r="AM29" i="53"/>
  <c r="AN29" i="53" s="1"/>
  <c r="J57" i="53" s="1"/>
  <c r="AC23" i="52"/>
  <c r="C51" i="52"/>
  <c r="AB24" i="52"/>
  <c r="F51" i="52"/>
  <c r="AH23" i="52"/>
  <c r="AG24" i="52"/>
  <c r="AL29" i="52"/>
  <c r="I56" i="52"/>
  <c r="AM28" i="52"/>
  <c r="AN28" i="52" s="1"/>
  <c r="J56" i="52" s="1"/>
  <c r="AL31" i="47"/>
  <c r="I58" i="47"/>
  <c r="AM30" i="47"/>
  <c r="AN30" i="47" s="1"/>
  <c r="J58" i="47" s="1"/>
  <c r="F50" i="47"/>
  <c r="AH22" i="47"/>
  <c r="AG23" i="47"/>
  <c r="C50" i="47"/>
  <c r="AC22" i="47"/>
  <c r="AB23" i="47"/>
  <c r="C51" i="45"/>
  <c r="AB24" i="45"/>
  <c r="AC23" i="45"/>
  <c r="AL29" i="45"/>
  <c r="I56" i="45"/>
  <c r="AM28" i="45"/>
  <c r="AN28" i="45" s="1"/>
  <c r="J56" i="45" s="1"/>
  <c r="F51" i="45"/>
  <c r="AG24" i="45"/>
  <c r="AH23" i="45"/>
  <c r="C51" i="44"/>
  <c r="AB24" i="44"/>
  <c r="AC23" i="44"/>
  <c r="AL29" i="44"/>
  <c r="I56" i="44"/>
  <c r="AM28" i="44"/>
  <c r="AN28" i="44" s="1"/>
  <c r="J56" i="44" s="1"/>
  <c r="F51" i="44"/>
  <c r="AG24" i="44"/>
  <c r="AH23" i="44"/>
  <c r="F46" i="42"/>
  <c r="H10" i="42"/>
  <c r="AG19" i="42"/>
  <c r="AG20" i="42" s="1"/>
  <c r="AP15" i="42"/>
  <c r="F13" i="5"/>
  <c r="F12" i="5"/>
  <c r="F11" i="5"/>
  <c r="F10" i="5"/>
  <c r="F9" i="5"/>
  <c r="F5" i="42" s="1"/>
  <c r="F8" i="5"/>
  <c r="F7" i="5"/>
  <c r="F6" i="5"/>
  <c r="F5" i="5"/>
  <c r="AG25" i="54" l="1"/>
  <c r="AH24" i="54"/>
  <c r="F52" i="54"/>
  <c r="C52" i="54"/>
  <c r="AB25" i="54"/>
  <c r="AC24" i="54"/>
  <c r="I57" i="54"/>
  <c r="AL30" i="54"/>
  <c r="AM29" i="54"/>
  <c r="AN29" i="54" s="1"/>
  <c r="J57" i="54" s="1"/>
  <c r="F53" i="53"/>
  <c r="AH25" i="53"/>
  <c r="AG26" i="53"/>
  <c r="C53" i="53"/>
  <c r="AC25" i="53"/>
  <c r="AB26" i="53"/>
  <c r="AL31" i="53"/>
  <c r="I58" i="53"/>
  <c r="AM30" i="53"/>
  <c r="AN30" i="53" s="1"/>
  <c r="J58" i="53" s="1"/>
  <c r="C52" i="52"/>
  <c r="AB25" i="52"/>
  <c r="AC24" i="52"/>
  <c r="F52" i="52"/>
  <c r="AG25" i="52"/>
  <c r="AH24" i="52"/>
  <c r="AL30" i="52"/>
  <c r="I57" i="52"/>
  <c r="AM29" i="52"/>
  <c r="AN29" i="52" s="1"/>
  <c r="J57" i="52" s="1"/>
  <c r="F51" i="47"/>
  <c r="AH23" i="47"/>
  <c r="AG24" i="47"/>
  <c r="AC23" i="47"/>
  <c r="C51" i="47"/>
  <c r="AB24" i="47"/>
  <c r="I59" i="47"/>
  <c r="AL32" i="47"/>
  <c r="AM31" i="47"/>
  <c r="AN31" i="47" s="1"/>
  <c r="J59" i="47" s="1"/>
  <c r="C52" i="45"/>
  <c r="AB25" i="45"/>
  <c r="AC24" i="45"/>
  <c r="AG25" i="45"/>
  <c r="AH24" i="45"/>
  <c r="F52" i="45"/>
  <c r="I57" i="45"/>
  <c r="AL30" i="45"/>
  <c r="AM29" i="45"/>
  <c r="AN29" i="45" s="1"/>
  <c r="J57" i="45" s="1"/>
  <c r="C52" i="44"/>
  <c r="AB25" i="44"/>
  <c r="AC24" i="44"/>
  <c r="F52" i="44"/>
  <c r="AG25" i="44"/>
  <c r="AH24" i="44"/>
  <c r="I57" i="44"/>
  <c r="AL30" i="44"/>
  <c r="AM29" i="44"/>
  <c r="AN29" i="44" s="1"/>
  <c r="J57" i="44" s="1"/>
  <c r="AH19" i="42"/>
  <c r="F47" i="42"/>
  <c r="AG21" i="42"/>
  <c r="F48" i="42"/>
  <c r="AH20" i="42"/>
  <c r="AP24" i="42"/>
  <c r="AP28" i="42" s="1"/>
  <c r="L47" i="42" s="1"/>
  <c r="AP19" i="42"/>
  <c r="AB26" i="54" l="1"/>
  <c r="C53" i="54"/>
  <c r="AC25" i="54"/>
  <c r="AL31" i="54"/>
  <c r="I58" i="54"/>
  <c r="AM30" i="54"/>
  <c r="AN30" i="54" s="1"/>
  <c r="J58" i="54" s="1"/>
  <c r="F53" i="54"/>
  <c r="AG26" i="54"/>
  <c r="AH25" i="54"/>
  <c r="AC26" i="53"/>
  <c r="AB27" i="53"/>
  <c r="C54" i="53"/>
  <c r="F54" i="53"/>
  <c r="AH26" i="53"/>
  <c r="AG27" i="53"/>
  <c r="I59" i="53"/>
  <c r="AL32" i="53"/>
  <c r="AM31" i="53"/>
  <c r="AN31" i="53" s="1"/>
  <c r="J59" i="53" s="1"/>
  <c r="F53" i="52"/>
  <c r="AH25" i="52"/>
  <c r="AG26" i="52"/>
  <c r="C53" i="52"/>
  <c r="AC25" i="52"/>
  <c r="AB26" i="52"/>
  <c r="AL31" i="52"/>
  <c r="I58" i="52"/>
  <c r="AM30" i="52"/>
  <c r="AN30" i="52" s="1"/>
  <c r="J58" i="52" s="1"/>
  <c r="C52" i="47"/>
  <c r="AB25" i="47"/>
  <c r="AC24" i="47"/>
  <c r="AG25" i="47"/>
  <c r="AH24" i="47"/>
  <c r="F52" i="47"/>
  <c r="AL33" i="47"/>
  <c r="I60" i="47"/>
  <c r="AM32" i="47"/>
  <c r="AN32" i="47" s="1"/>
  <c r="J60" i="47" s="1"/>
  <c r="AL31" i="45"/>
  <c r="I58" i="45"/>
  <c r="AM30" i="45"/>
  <c r="AN30" i="45" s="1"/>
  <c r="J58" i="45" s="1"/>
  <c r="AB26" i="45"/>
  <c r="C53" i="45"/>
  <c r="AC25" i="45"/>
  <c r="F53" i="45"/>
  <c r="AG26" i="45"/>
  <c r="AH25" i="45"/>
  <c r="AC25" i="44"/>
  <c r="AB26" i="44"/>
  <c r="C53" i="44"/>
  <c r="AL31" i="44"/>
  <c r="I58" i="44"/>
  <c r="AM30" i="44"/>
  <c r="AN30" i="44" s="1"/>
  <c r="J58" i="44" s="1"/>
  <c r="F53" i="44"/>
  <c r="AH25" i="44"/>
  <c r="AG26" i="44"/>
  <c r="AG22" i="42"/>
  <c r="F49" i="42"/>
  <c r="AH21" i="42"/>
  <c r="L43" i="42"/>
  <c r="D31" i="42"/>
  <c r="F54" i="54" l="1"/>
  <c r="AG27" i="54"/>
  <c r="AH26" i="54"/>
  <c r="I59" i="54"/>
  <c r="AL32" i="54"/>
  <c r="AM31" i="54"/>
  <c r="AN31" i="54" s="1"/>
  <c r="J59" i="54" s="1"/>
  <c r="AB27" i="54"/>
  <c r="C54" i="54"/>
  <c r="AC26" i="54"/>
  <c r="F55" i="53"/>
  <c r="AG28" i="53"/>
  <c r="AH27" i="53"/>
  <c r="AB28" i="53"/>
  <c r="C55" i="53"/>
  <c r="AC27" i="53"/>
  <c r="AL33" i="53"/>
  <c r="I60" i="53"/>
  <c r="AM32" i="53"/>
  <c r="AN32" i="53" s="1"/>
  <c r="J60" i="53" s="1"/>
  <c r="AC26" i="52"/>
  <c r="C54" i="52"/>
  <c r="AB27" i="52"/>
  <c r="F54" i="52"/>
  <c r="AH26" i="52"/>
  <c r="AG27" i="52"/>
  <c r="I59" i="52"/>
  <c r="AL32" i="52"/>
  <c r="AM31" i="52"/>
  <c r="AN31" i="52" s="1"/>
  <c r="J59" i="52" s="1"/>
  <c r="C53" i="47"/>
  <c r="AC25" i="47"/>
  <c r="AB26" i="47"/>
  <c r="F53" i="47"/>
  <c r="AH25" i="47"/>
  <c r="AG26" i="47"/>
  <c r="I61" i="47"/>
  <c r="AL34" i="47"/>
  <c r="AM33" i="47"/>
  <c r="AN33" i="47" s="1"/>
  <c r="J61" i="47" s="1"/>
  <c r="I59" i="45"/>
  <c r="AL32" i="45"/>
  <c r="AM31" i="45"/>
  <c r="AN31" i="45" s="1"/>
  <c r="J59" i="45" s="1"/>
  <c r="F54" i="45"/>
  <c r="AG27" i="45"/>
  <c r="AH26" i="45"/>
  <c r="AB27" i="45"/>
  <c r="AC26" i="45"/>
  <c r="C54" i="45"/>
  <c r="AC26" i="44"/>
  <c r="AB27" i="44"/>
  <c r="C54" i="44"/>
  <c r="F54" i="44"/>
  <c r="AH26" i="44"/>
  <c r="AG27" i="44"/>
  <c r="I59" i="44"/>
  <c r="AL32" i="44"/>
  <c r="AM31" i="44"/>
  <c r="AN31" i="44" s="1"/>
  <c r="J59" i="44" s="1"/>
  <c r="AG23" i="42"/>
  <c r="F50" i="42"/>
  <c r="AH22" i="42"/>
  <c r="AB37" i="42"/>
  <c r="AL17" i="42"/>
  <c r="AB28" i="54" l="1"/>
  <c r="C55" i="54"/>
  <c r="AC27" i="54"/>
  <c r="AL33" i="54"/>
  <c r="I60" i="54"/>
  <c r="AM32" i="54"/>
  <c r="AN32" i="54" s="1"/>
  <c r="J60" i="54" s="1"/>
  <c r="F55" i="54"/>
  <c r="AG28" i="54"/>
  <c r="AH27" i="54"/>
  <c r="AG29" i="53"/>
  <c r="AH28" i="53"/>
  <c r="F56" i="53"/>
  <c r="I61" i="53"/>
  <c r="AL34" i="53"/>
  <c r="AM33" i="53"/>
  <c r="AN33" i="53" s="1"/>
  <c r="J61" i="53" s="1"/>
  <c r="AB29" i="53"/>
  <c r="AC28" i="53"/>
  <c r="C56" i="53"/>
  <c r="AL33" i="52"/>
  <c r="I60" i="52"/>
  <c r="AM32" i="52"/>
  <c r="AN32" i="52" s="1"/>
  <c r="J60" i="52" s="1"/>
  <c r="F55" i="52"/>
  <c r="AH27" i="52"/>
  <c r="AG28" i="52"/>
  <c r="C55" i="52"/>
  <c r="AB28" i="52"/>
  <c r="AC27" i="52"/>
  <c r="F54" i="47"/>
  <c r="AH26" i="47"/>
  <c r="AG27" i="47"/>
  <c r="C54" i="47"/>
  <c r="AC26" i="47"/>
  <c r="AB27" i="47"/>
  <c r="AL35" i="47"/>
  <c r="I62" i="47"/>
  <c r="AM34" i="47"/>
  <c r="AN34" i="47" s="1"/>
  <c r="J62" i="47" s="1"/>
  <c r="AB28" i="45"/>
  <c r="C55" i="45"/>
  <c r="AC27" i="45"/>
  <c r="AL33" i="45"/>
  <c r="I60" i="45"/>
  <c r="AM32" i="45"/>
  <c r="AN32" i="45" s="1"/>
  <c r="J60" i="45" s="1"/>
  <c r="F55" i="45"/>
  <c r="AG28" i="45"/>
  <c r="AH27" i="45"/>
  <c r="AB28" i="44"/>
  <c r="AC27" i="44"/>
  <c r="C55" i="44"/>
  <c r="F55" i="44"/>
  <c r="AG28" i="44"/>
  <c r="AH27" i="44"/>
  <c r="AL33" i="44"/>
  <c r="I60" i="44"/>
  <c r="AM32" i="44"/>
  <c r="AN32" i="44" s="1"/>
  <c r="J60" i="44" s="1"/>
  <c r="C65" i="42"/>
  <c r="AY18" i="42"/>
  <c r="AY26" i="42"/>
  <c r="AY34" i="42"/>
  <c r="AY19" i="42"/>
  <c r="AY35" i="42"/>
  <c r="AY23" i="42"/>
  <c r="AY24" i="42"/>
  <c r="AY27" i="42"/>
  <c r="AY32" i="42"/>
  <c r="AY20" i="42"/>
  <c r="AY28" i="42"/>
  <c r="AY36" i="42"/>
  <c r="AY21" i="42"/>
  <c r="AY29" i="42"/>
  <c r="AY37" i="42"/>
  <c r="AY22" i="42"/>
  <c r="AY30" i="42"/>
  <c r="AY15" i="42"/>
  <c r="AY31" i="42"/>
  <c r="AY16" i="42"/>
  <c r="AY17" i="42"/>
  <c r="AY25" i="42"/>
  <c r="AY33" i="42"/>
  <c r="AG24" i="42"/>
  <c r="AH23" i="42"/>
  <c r="F51" i="42"/>
  <c r="AL18" i="42"/>
  <c r="I45" i="42"/>
  <c r="AB17" i="42"/>
  <c r="AC16" i="42"/>
  <c r="AL37" i="42"/>
  <c r="AM17" i="42"/>
  <c r="AN17" i="42" s="1"/>
  <c r="J45" i="42" s="1"/>
  <c r="AG29" i="54" l="1"/>
  <c r="AH28" i="54"/>
  <c r="F56" i="54"/>
  <c r="I61" i="54"/>
  <c r="AL34" i="54"/>
  <c r="AM33" i="54"/>
  <c r="AN33" i="54" s="1"/>
  <c r="J61" i="54" s="1"/>
  <c r="AB29" i="54"/>
  <c r="AC28" i="54"/>
  <c r="C56" i="54"/>
  <c r="AL35" i="53"/>
  <c r="I62" i="53"/>
  <c r="AM34" i="53"/>
  <c r="AN34" i="53" s="1"/>
  <c r="J62" i="53" s="1"/>
  <c r="C57" i="53"/>
  <c r="AB30" i="53"/>
  <c r="AC29" i="53"/>
  <c r="F57" i="53"/>
  <c r="AG30" i="53"/>
  <c r="AH29" i="53"/>
  <c r="AB29" i="52"/>
  <c r="AC28" i="52"/>
  <c r="C56" i="52"/>
  <c r="AG29" i="52"/>
  <c r="AH28" i="52"/>
  <c r="F56" i="52"/>
  <c r="I61" i="52"/>
  <c r="AL34" i="52"/>
  <c r="AM33" i="52"/>
  <c r="AN33" i="52" s="1"/>
  <c r="J61" i="52" s="1"/>
  <c r="AB28" i="47"/>
  <c r="C55" i="47"/>
  <c r="AC27" i="47"/>
  <c r="F55" i="47"/>
  <c r="AG28" i="47"/>
  <c r="AH27" i="47"/>
  <c r="I63" i="47"/>
  <c r="AL36" i="47"/>
  <c r="AM35" i="47"/>
  <c r="AN35" i="47" s="1"/>
  <c r="J63" i="47" s="1"/>
  <c r="AG29" i="45"/>
  <c r="F56" i="45"/>
  <c r="AH28" i="45"/>
  <c r="I61" i="45"/>
  <c r="AL34" i="45"/>
  <c r="AM33" i="45"/>
  <c r="AN33" i="45" s="1"/>
  <c r="J61" i="45" s="1"/>
  <c r="AB29" i="45"/>
  <c r="AC28" i="45"/>
  <c r="C56" i="45"/>
  <c r="AG29" i="44"/>
  <c r="AH28" i="44"/>
  <c r="F56" i="44"/>
  <c r="I61" i="44"/>
  <c r="AL34" i="44"/>
  <c r="AM33" i="44"/>
  <c r="AN33" i="44" s="1"/>
  <c r="J61" i="44" s="1"/>
  <c r="AB29" i="44"/>
  <c r="AC28" i="44"/>
  <c r="C56" i="44"/>
  <c r="I65" i="42"/>
  <c r="AX16" i="42"/>
  <c r="AX24" i="42"/>
  <c r="AX32" i="42"/>
  <c r="AX35" i="42"/>
  <c r="AX36" i="42"/>
  <c r="AX37" i="42"/>
  <c r="AX17" i="42"/>
  <c r="AX25" i="42"/>
  <c r="AX33" i="42"/>
  <c r="AX27" i="42"/>
  <c r="AX21" i="42"/>
  <c r="AX30" i="42"/>
  <c r="AX31" i="42"/>
  <c r="AX18" i="42"/>
  <c r="AX26" i="42"/>
  <c r="AX34" i="42"/>
  <c r="AX19" i="42"/>
  <c r="AX20" i="42"/>
  <c r="AX28" i="42"/>
  <c r="AX29" i="42"/>
  <c r="AX22" i="42"/>
  <c r="AX15" i="42"/>
  <c r="AX23" i="42"/>
  <c r="AG25" i="42"/>
  <c r="AH24" i="42"/>
  <c r="F52" i="42"/>
  <c r="C45" i="42"/>
  <c r="AC17" i="42"/>
  <c r="AB18" i="42"/>
  <c r="AM16" i="42"/>
  <c r="AN16" i="42" s="1"/>
  <c r="J44" i="42" s="1"/>
  <c r="I46" i="42"/>
  <c r="AL19" i="42"/>
  <c r="AM18" i="42"/>
  <c r="AN18" i="42" s="1"/>
  <c r="J46" i="42" s="1"/>
  <c r="C57" i="54" l="1"/>
  <c r="AB30" i="54"/>
  <c r="AC29" i="54"/>
  <c r="AL35" i="54"/>
  <c r="I62" i="54"/>
  <c r="AM34" i="54"/>
  <c r="AN34" i="54" s="1"/>
  <c r="J62" i="54" s="1"/>
  <c r="F57" i="54"/>
  <c r="AH29" i="54"/>
  <c r="AG30" i="54"/>
  <c r="F58" i="53"/>
  <c r="AG31" i="53"/>
  <c r="AH30" i="53"/>
  <c r="AB31" i="53"/>
  <c r="AC30" i="53"/>
  <c r="C58" i="53"/>
  <c r="I63" i="53"/>
  <c r="AL36" i="53"/>
  <c r="AM35" i="53"/>
  <c r="AN35" i="53" s="1"/>
  <c r="J63" i="53" s="1"/>
  <c r="AL35" i="52"/>
  <c r="I62" i="52"/>
  <c r="AM34" i="52"/>
  <c r="AN34" i="52" s="1"/>
  <c r="J62" i="52" s="1"/>
  <c r="F57" i="52"/>
  <c r="AG30" i="52"/>
  <c r="AH29" i="52"/>
  <c r="C57" i="52"/>
  <c r="AB30" i="52"/>
  <c r="AC29" i="52"/>
  <c r="I64" i="47"/>
  <c r="AM36" i="47"/>
  <c r="AN36" i="47" s="1"/>
  <c r="J64" i="47" s="1"/>
  <c r="F56" i="47"/>
  <c r="AH28" i="47"/>
  <c r="AG29" i="47"/>
  <c r="C56" i="47"/>
  <c r="AC28" i="47"/>
  <c r="AB29" i="47"/>
  <c r="I62" i="45"/>
  <c r="AL35" i="45"/>
  <c r="AM34" i="45"/>
  <c r="AN34" i="45" s="1"/>
  <c r="J62" i="45" s="1"/>
  <c r="AB30" i="45"/>
  <c r="AC29" i="45"/>
  <c r="C57" i="45"/>
  <c r="F57" i="45"/>
  <c r="AH29" i="45"/>
  <c r="AG30" i="45"/>
  <c r="AB30" i="44"/>
  <c r="AC29" i="44"/>
  <c r="C57" i="44"/>
  <c r="I62" i="44"/>
  <c r="AL35" i="44"/>
  <c r="AM34" i="44"/>
  <c r="AN34" i="44" s="1"/>
  <c r="J62" i="44" s="1"/>
  <c r="F57" i="44"/>
  <c r="AH29" i="44"/>
  <c r="AG30" i="44"/>
  <c r="AG26" i="42"/>
  <c r="AH25" i="42"/>
  <c r="F53" i="42"/>
  <c r="I47" i="42"/>
  <c r="AL20" i="42"/>
  <c r="AM19" i="42"/>
  <c r="AN19" i="42" s="1"/>
  <c r="J47" i="42" s="1"/>
  <c r="AB19" i="42"/>
  <c r="C46" i="42"/>
  <c r="AC18" i="42"/>
  <c r="AB31" i="54" l="1"/>
  <c r="AC30" i="54"/>
  <c r="C58" i="54"/>
  <c r="F58" i="54"/>
  <c r="AG31" i="54"/>
  <c r="AH30" i="54"/>
  <c r="I63" i="54"/>
  <c r="AL36" i="54"/>
  <c r="AM35" i="54"/>
  <c r="AN35" i="54" s="1"/>
  <c r="J63" i="54" s="1"/>
  <c r="AG32" i="53"/>
  <c r="AH31" i="53"/>
  <c r="F59" i="53"/>
  <c r="I64" i="53"/>
  <c r="AM36" i="53"/>
  <c r="AN36" i="53" s="1"/>
  <c r="J64" i="53" s="1"/>
  <c r="C59" i="53"/>
  <c r="AB32" i="53"/>
  <c r="AC31" i="53"/>
  <c r="AB31" i="52"/>
  <c r="AC30" i="52"/>
  <c r="C58" i="52"/>
  <c r="F58" i="52"/>
  <c r="AG31" i="52"/>
  <c r="AH30" i="52"/>
  <c r="I63" i="52"/>
  <c r="AL36" i="52"/>
  <c r="AM35" i="52"/>
  <c r="AN35" i="52" s="1"/>
  <c r="J63" i="52" s="1"/>
  <c r="F57" i="47"/>
  <c r="AG30" i="47"/>
  <c r="AH29" i="47"/>
  <c r="C57" i="47"/>
  <c r="AB30" i="47"/>
  <c r="AC29" i="47"/>
  <c r="F58" i="45"/>
  <c r="AG31" i="45"/>
  <c r="AH30" i="45"/>
  <c r="I63" i="45"/>
  <c r="AL36" i="45"/>
  <c r="AM35" i="45"/>
  <c r="AN35" i="45" s="1"/>
  <c r="J63" i="45" s="1"/>
  <c r="AB31" i="45"/>
  <c r="AC30" i="45"/>
  <c r="C58" i="45"/>
  <c r="I63" i="44"/>
  <c r="AL36" i="44"/>
  <c r="AM35" i="44"/>
  <c r="AN35" i="44" s="1"/>
  <c r="J63" i="44" s="1"/>
  <c r="AB31" i="44"/>
  <c r="AC30" i="44"/>
  <c r="C58" i="44"/>
  <c r="F58" i="44"/>
  <c r="AG31" i="44"/>
  <c r="AH30" i="44"/>
  <c r="AG27" i="42"/>
  <c r="AH26" i="42"/>
  <c r="F54" i="42"/>
  <c r="AB20" i="42"/>
  <c r="C47" i="42"/>
  <c r="AC19" i="42"/>
  <c r="I48" i="42"/>
  <c r="AL21" i="42"/>
  <c r="AM20" i="42"/>
  <c r="AN20" i="42" s="1"/>
  <c r="J48" i="42" s="1"/>
  <c r="I64" i="54" l="1"/>
  <c r="AM36" i="54"/>
  <c r="AN36" i="54" s="1"/>
  <c r="J64" i="54" s="1"/>
  <c r="AG32" i="54"/>
  <c r="AH31" i="54"/>
  <c r="F59" i="54"/>
  <c r="C59" i="54"/>
  <c r="AB32" i="54"/>
  <c r="AC31" i="54"/>
  <c r="AG33" i="53"/>
  <c r="AH32" i="53"/>
  <c r="F60" i="53"/>
  <c r="AB33" i="53"/>
  <c r="AC32" i="53"/>
  <c r="C60" i="53"/>
  <c r="AG32" i="52"/>
  <c r="AH31" i="52"/>
  <c r="F59" i="52"/>
  <c r="C59" i="52"/>
  <c r="AB32" i="52"/>
  <c r="AC31" i="52"/>
  <c r="I64" i="52"/>
  <c r="AM36" i="52"/>
  <c r="AN36" i="52" s="1"/>
  <c r="J64" i="52" s="1"/>
  <c r="F58" i="47"/>
  <c r="AG31" i="47"/>
  <c r="AH30" i="47"/>
  <c r="AC30" i="47"/>
  <c r="C58" i="47"/>
  <c r="AB31" i="47"/>
  <c r="AG32" i="45"/>
  <c r="AH31" i="45"/>
  <c r="F59" i="45"/>
  <c r="I64" i="45"/>
  <c r="AM36" i="45"/>
  <c r="AN36" i="45" s="1"/>
  <c r="J64" i="45" s="1"/>
  <c r="C59" i="45"/>
  <c r="AB32" i="45"/>
  <c r="AC31" i="45"/>
  <c r="AG32" i="44"/>
  <c r="AH31" i="44"/>
  <c r="F59" i="44"/>
  <c r="I64" i="44"/>
  <c r="AM36" i="44"/>
  <c r="AN36" i="44" s="1"/>
  <c r="J64" i="44" s="1"/>
  <c r="C59" i="44"/>
  <c r="AB32" i="44"/>
  <c r="AC31" i="44"/>
  <c r="AG28" i="42"/>
  <c r="F55" i="42"/>
  <c r="AH27" i="42"/>
  <c r="AL22" i="42"/>
  <c r="I49" i="42"/>
  <c r="AM21" i="42"/>
  <c r="AN21" i="42" s="1"/>
  <c r="J49" i="42" s="1"/>
  <c r="C48" i="42"/>
  <c r="AC20" i="42"/>
  <c r="AB21" i="42"/>
  <c r="AG33" i="54" l="1"/>
  <c r="AH32" i="54"/>
  <c r="F60" i="54"/>
  <c r="AB33" i="54"/>
  <c r="AC32" i="54"/>
  <c r="C60" i="54"/>
  <c r="C61" i="53"/>
  <c r="AC33" i="53"/>
  <c r="AB34" i="53"/>
  <c r="F61" i="53"/>
  <c r="AG34" i="53"/>
  <c r="AH33" i="53"/>
  <c r="AB33" i="52"/>
  <c r="AC32" i="52"/>
  <c r="C60" i="52"/>
  <c r="AG33" i="52"/>
  <c r="AH32" i="52"/>
  <c r="F60" i="52"/>
  <c r="C59" i="47"/>
  <c r="AB32" i="47"/>
  <c r="AC31" i="47"/>
  <c r="AG32" i="47"/>
  <c r="AH31" i="47"/>
  <c r="F59" i="47"/>
  <c r="AG33" i="45"/>
  <c r="AH32" i="45"/>
  <c r="F60" i="45"/>
  <c r="AB33" i="45"/>
  <c r="AC32" i="45"/>
  <c r="C60" i="45"/>
  <c r="AG33" i="44"/>
  <c r="AH32" i="44"/>
  <c r="F60" i="44"/>
  <c r="AB33" i="44"/>
  <c r="AC32" i="44"/>
  <c r="C60" i="44"/>
  <c r="AG29" i="42"/>
  <c r="F56" i="42"/>
  <c r="AH28" i="42"/>
  <c r="AC21" i="42"/>
  <c r="C49" i="42"/>
  <c r="AB22" i="42"/>
  <c r="I50" i="42"/>
  <c r="AL23" i="42"/>
  <c r="AM22" i="42"/>
  <c r="AN22" i="42" s="1"/>
  <c r="J50" i="42" s="1"/>
  <c r="C61" i="54" l="1"/>
  <c r="AB34" i="54"/>
  <c r="AC33" i="54"/>
  <c r="F61" i="54"/>
  <c r="AG34" i="54"/>
  <c r="AH33" i="54"/>
  <c r="AB35" i="53"/>
  <c r="AC34" i="53"/>
  <c r="C62" i="53"/>
  <c r="F62" i="53"/>
  <c r="AG35" i="53"/>
  <c r="AH34" i="53"/>
  <c r="F61" i="52"/>
  <c r="AG34" i="52"/>
  <c r="AH33" i="52"/>
  <c r="C61" i="52"/>
  <c r="AB34" i="52"/>
  <c r="AC33" i="52"/>
  <c r="AB33" i="47"/>
  <c r="AC32" i="47"/>
  <c r="C60" i="47"/>
  <c r="AG33" i="47"/>
  <c r="AH32" i="47"/>
  <c r="F60" i="47"/>
  <c r="C61" i="45"/>
  <c r="AC33" i="45"/>
  <c r="AB34" i="45"/>
  <c r="F61" i="45"/>
  <c r="AG34" i="45"/>
  <c r="AH33" i="45"/>
  <c r="C61" i="44"/>
  <c r="AB34" i="44"/>
  <c r="AC33" i="44"/>
  <c r="F61" i="44"/>
  <c r="AG34" i="44"/>
  <c r="AH33" i="44"/>
  <c r="AG30" i="42"/>
  <c r="AH29" i="42"/>
  <c r="F57" i="42"/>
  <c r="AC22" i="42"/>
  <c r="C50" i="42"/>
  <c r="AB23" i="42"/>
  <c r="AL24" i="42"/>
  <c r="I51" i="42"/>
  <c r="AM23" i="42"/>
  <c r="AN23" i="42" s="1"/>
  <c r="J51" i="42" s="1"/>
  <c r="F62" i="54" l="1"/>
  <c r="AG35" i="54"/>
  <c r="AH34" i="54"/>
  <c r="AB35" i="54"/>
  <c r="AC34" i="54"/>
  <c r="C62" i="54"/>
  <c r="AG36" i="53"/>
  <c r="AH35" i="53"/>
  <c r="F63" i="53"/>
  <c r="C63" i="53"/>
  <c r="AB36" i="53"/>
  <c r="AD35" i="53" s="1"/>
  <c r="AE35" i="53" s="1"/>
  <c r="D63" i="53" s="1"/>
  <c r="AC35" i="53"/>
  <c r="C62" i="52"/>
  <c r="AB35" i="52"/>
  <c r="AC34" i="52"/>
  <c r="F62" i="52"/>
  <c r="AG35" i="52"/>
  <c r="AH34" i="52"/>
  <c r="AG34" i="47"/>
  <c r="AH33" i="47"/>
  <c r="F61" i="47"/>
  <c r="C61" i="47"/>
  <c r="AB34" i="47"/>
  <c r="AC33" i="47"/>
  <c r="AB35" i="45"/>
  <c r="AC34" i="45"/>
  <c r="C62" i="45"/>
  <c r="F62" i="45"/>
  <c r="AG35" i="45"/>
  <c r="AH34" i="45"/>
  <c r="AB35" i="44"/>
  <c r="AC34" i="44"/>
  <c r="C62" i="44"/>
  <c r="F62" i="44"/>
  <c r="AG35" i="44"/>
  <c r="AH34" i="44"/>
  <c r="AG31" i="42"/>
  <c r="AH30" i="42"/>
  <c r="F58" i="42"/>
  <c r="I52" i="42"/>
  <c r="AM24" i="42"/>
  <c r="AN24" i="42" s="1"/>
  <c r="J52" i="42" s="1"/>
  <c r="AL25" i="42"/>
  <c r="C51" i="42"/>
  <c r="AB24" i="42"/>
  <c r="AC23" i="42"/>
  <c r="AG36" i="54" l="1"/>
  <c r="AH35" i="54"/>
  <c r="AI35" i="54" s="1"/>
  <c r="AJ35" i="54" s="1"/>
  <c r="G63" i="54" s="1"/>
  <c r="F63" i="54"/>
  <c r="C63" i="54"/>
  <c r="AB36" i="54"/>
  <c r="AC35" i="54"/>
  <c r="AI35" i="53"/>
  <c r="AJ35" i="53" s="1"/>
  <c r="G63" i="53" s="1"/>
  <c r="AC36" i="53"/>
  <c r="AW33" i="53"/>
  <c r="AW29" i="53"/>
  <c r="AW36" i="53"/>
  <c r="AW32" i="53"/>
  <c r="AW28" i="53"/>
  <c r="AW37" i="53"/>
  <c r="AW35" i="53"/>
  <c r="AW31" i="53"/>
  <c r="AW34" i="53"/>
  <c r="AW22" i="53"/>
  <c r="AW20" i="53"/>
  <c r="AW16" i="53"/>
  <c r="AD16" i="53"/>
  <c r="AE16" i="53" s="1"/>
  <c r="D44" i="53" s="1"/>
  <c r="AW21" i="53"/>
  <c r="AW19" i="53"/>
  <c r="C64" i="53"/>
  <c r="AD36" i="53"/>
  <c r="AW27" i="53"/>
  <c r="AW25" i="53"/>
  <c r="AW18" i="53"/>
  <c r="AW15" i="53"/>
  <c r="AW26" i="53"/>
  <c r="AW23" i="53"/>
  <c r="AW17" i="53"/>
  <c r="AW30" i="53"/>
  <c r="AW24" i="53"/>
  <c r="AD17" i="53"/>
  <c r="AE17" i="53" s="1"/>
  <c r="D45" i="53" s="1"/>
  <c r="AD18" i="53"/>
  <c r="AE18" i="53" s="1"/>
  <c r="D46" i="53" s="1"/>
  <c r="AD19" i="53"/>
  <c r="AE19" i="53" s="1"/>
  <c r="D47" i="53" s="1"/>
  <c r="AD20" i="53"/>
  <c r="AE20" i="53" s="1"/>
  <c r="D48" i="53" s="1"/>
  <c r="AD21" i="53"/>
  <c r="AE21" i="53" s="1"/>
  <c r="D49" i="53" s="1"/>
  <c r="AD22" i="53"/>
  <c r="AE22" i="53" s="1"/>
  <c r="D50" i="53" s="1"/>
  <c r="AD23" i="53"/>
  <c r="AE23" i="53" s="1"/>
  <c r="D51" i="53" s="1"/>
  <c r="AD24" i="53"/>
  <c r="AE24" i="53" s="1"/>
  <c r="D52" i="53" s="1"/>
  <c r="AD25" i="53"/>
  <c r="AE25" i="53" s="1"/>
  <c r="D53" i="53" s="1"/>
  <c r="AD26" i="53"/>
  <c r="AE26" i="53" s="1"/>
  <c r="D54" i="53" s="1"/>
  <c r="AD27" i="53"/>
  <c r="AE27" i="53" s="1"/>
  <c r="D55" i="53" s="1"/>
  <c r="AD28" i="53"/>
  <c r="AE28" i="53" s="1"/>
  <c r="D56" i="53" s="1"/>
  <c r="AD29" i="53"/>
  <c r="AE29" i="53" s="1"/>
  <c r="D57" i="53" s="1"/>
  <c r="AD30" i="53"/>
  <c r="AE30" i="53" s="1"/>
  <c r="D58" i="53" s="1"/>
  <c r="AD31" i="53"/>
  <c r="AE31" i="53" s="1"/>
  <c r="D59" i="53" s="1"/>
  <c r="AD32" i="53"/>
  <c r="AE32" i="53" s="1"/>
  <c r="D60" i="53" s="1"/>
  <c r="AD33" i="53"/>
  <c r="AE33" i="53" s="1"/>
  <c r="D61" i="53" s="1"/>
  <c r="AD34" i="53"/>
  <c r="AE34" i="53" s="1"/>
  <c r="D62" i="53" s="1"/>
  <c r="AH36" i="53"/>
  <c r="AI36" i="53" s="1"/>
  <c r="F64" i="53"/>
  <c r="AI16" i="53"/>
  <c r="AJ16" i="53" s="1"/>
  <c r="G44" i="53" s="1"/>
  <c r="AI17" i="53"/>
  <c r="AJ17" i="53" s="1"/>
  <c r="G45" i="53" s="1"/>
  <c r="AI18" i="53"/>
  <c r="AJ18" i="53" s="1"/>
  <c r="G46" i="53" s="1"/>
  <c r="AI19" i="53"/>
  <c r="AJ19" i="53" s="1"/>
  <c r="G47" i="53" s="1"/>
  <c r="AI20" i="53"/>
  <c r="AJ20" i="53" s="1"/>
  <c r="G48" i="53" s="1"/>
  <c r="AI21" i="53"/>
  <c r="AJ21" i="53" s="1"/>
  <c r="G49" i="53" s="1"/>
  <c r="AI22" i="53"/>
  <c r="AJ22" i="53" s="1"/>
  <c r="G50" i="53" s="1"/>
  <c r="AI23" i="53"/>
  <c r="AJ23" i="53" s="1"/>
  <c r="G51" i="53" s="1"/>
  <c r="AI24" i="53"/>
  <c r="AJ24" i="53" s="1"/>
  <c r="G52" i="53" s="1"/>
  <c r="AI25" i="53"/>
  <c r="AJ25" i="53" s="1"/>
  <c r="G53" i="53" s="1"/>
  <c r="AI26" i="53"/>
  <c r="AJ26" i="53" s="1"/>
  <c r="G54" i="53" s="1"/>
  <c r="AI27" i="53"/>
  <c r="AJ27" i="53" s="1"/>
  <c r="G55" i="53" s="1"/>
  <c r="AI28" i="53"/>
  <c r="AJ28" i="53" s="1"/>
  <c r="G56" i="53" s="1"/>
  <c r="AI29" i="53"/>
  <c r="AJ29" i="53" s="1"/>
  <c r="G57" i="53" s="1"/>
  <c r="AI30" i="53"/>
  <c r="AJ30" i="53" s="1"/>
  <c r="G58" i="53" s="1"/>
  <c r="AI31" i="53"/>
  <c r="AJ31" i="53" s="1"/>
  <c r="G59" i="53" s="1"/>
  <c r="AI32" i="53"/>
  <c r="AJ32" i="53" s="1"/>
  <c r="G60" i="53" s="1"/>
  <c r="AI33" i="53"/>
  <c r="AJ33" i="53" s="1"/>
  <c r="G61" i="53" s="1"/>
  <c r="AI34" i="53"/>
  <c r="AJ34" i="53" s="1"/>
  <c r="G62" i="53" s="1"/>
  <c r="C63" i="52"/>
  <c r="AB36" i="52"/>
  <c r="AC35" i="52"/>
  <c r="AG36" i="52"/>
  <c r="AH35" i="52"/>
  <c r="F63" i="52"/>
  <c r="AB35" i="47"/>
  <c r="AC34" i="47"/>
  <c r="C62" i="47"/>
  <c r="F62" i="47"/>
  <c r="AG35" i="47"/>
  <c r="AH34" i="47"/>
  <c r="AG36" i="45"/>
  <c r="AH35" i="45"/>
  <c r="F63" i="45"/>
  <c r="C63" i="45"/>
  <c r="AB36" i="45"/>
  <c r="AC35" i="45"/>
  <c r="AG36" i="44"/>
  <c r="AH35" i="44"/>
  <c r="F63" i="44"/>
  <c r="C63" i="44"/>
  <c r="AB36" i="44"/>
  <c r="AC35" i="44"/>
  <c r="AG32" i="42"/>
  <c r="AH31" i="42"/>
  <c r="F59" i="42"/>
  <c r="C52" i="42"/>
  <c r="AC24" i="42"/>
  <c r="AB25" i="42"/>
  <c r="I53" i="42"/>
  <c r="AL26" i="42"/>
  <c r="AM25" i="42"/>
  <c r="AN25" i="42" s="1"/>
  <c r="J53" i="42" s="1"/>
  <c r="AC36" i="54" l="1"/>
  <c r="AW33" i="54"/>
  <c r="AW29" i="54"/>
  <c r="AW36" i="54"/>
  <c r="AW32" i="54"/>
  <c r="AW37" i="54"/>
  <c r="AW35" i="54"/>
  <c r="AW31" i="54"/>
  <c r="AW34" i="54"/>
  <c r="AW28" i="54"/>
  <c r="AW27" i="54"/>
  <c r="AW25" i="54"/>
  <c r="AW26" i="54"/>
  <c r="AW24" i="54"/>
  <c r="AW23" i="54"/>
  <c r="AW17" i="54"/>
  <c r="C64" i="54"/>
  <c r="AD36" i="54"/>
  <c r="AW22" i="54"/>
  <c r="AW20" i="54"/>
  <c r="AW18" i="54"/>
  <c r="AW16" i="54"/>
  <c r="AW30" i="54"/>
  <c r="AW19" i="54"/>
  <c r="AD16" i="54"/>
  <c r="AE16" i="54" s="1"/>
  <c r="D44" i="54" s="1"/>
  <c r="AW15" i="54"/>
  <c r="AW21" i="54"/>
  <c r="AD17" i="54"/>
  <c r="AE17" i="54" s="1"/>
  <c r="D45" i="54" s="1"/>
  <c r="AD18" i="54"/>
  <c r="AE18" i="54" s="1"/>
  <c r="D46" i="54" s="1"/>
  <c r="AD19" i="54"/>
  <c r="AE19" i="54" s="1"/>
  <c r="D47" i="54" s="1"/>
  <c r="AD20" i="54"/>
  <c r="AE20" i="54" s="1"/>
  <c r="D48" i="54" s="1"/>
  <c r="AD21" i="54"/>
  <c r="AE21" i="54" s="1"/>
  <c r="D49" i="54" s="1"/>
  <c r="AD22" i="54"/>
  <c r="AE22" i="54" s="1"/>
  <c r="D50" i="54" s="1"/>
  <c r="AD23" i="54"/>
  <c r="AE23" i="54" s="1"/>
  <c r="D51" i="54" s="1"/>
  <c r="AD24" i="54"/>
  <c r="AE24" i="54" s="1"/>
  <c r="D52" i="54" s="1"/>
  <c r="AD25" i="54"/>
  <c r="AE25" i="54" s="1"/>
  <c r="D53" i="54" s="1"/>
  <c r="AD26" i="54"/>
  <c r="AE26" i="54" s="1"/>
  <c r="D54" i="54" s="1"/>
  <c r="AD27" i="54"/>
  <c r="AE27" i="54" s="1"/>
  <c r="D55" i="54" s="1"/>
  <c r="AD28" i="54"/>
  <c r="AE28" i="54" s="1"/>
  <c r="D56" i="54" s="1"/>
  <c r="AD29" i="54"/>
  <c r="AE29" i="54" s="1"/>
  <c r="D57" i="54" s="1"/>
  <c r="AD30" i="54"/>
  <c r="AE30" i="54" s="1"/>
  <c r="D58" i="54" s="1"/>
  <c r="AD31" i="54"/>
  <c r="AE31" i="54" s="1"/>
  <c r="D59" i="54" s="1"/>
  <c r="AD32" i="54"/>
  <c r="AE32" i="54" s="1"/>
  <c r="D60" i="54" s="1"/>
  <c r="AD33" i="54"/>
  <c r="AE33" i="54" s="1"/>
  <c r="D61" i="54" s="1"/>
  <c r="AD34" i="54"/>
  <c r="AE34" i="54" s="1"/>
  <c r="D62" i="54" s="1"/>
  <c r="AH36" i="54"/>
  <c r="F64" i="54"/>
  <c r="AI36" i="54"/>
  <c r="AI16" i="54"/>
  <c r="AJ16" i="54" s="1"/>
  <c r="G44" i="54" s="1"/>
  <c r="AI17" i="54"/>
  <c r="AJ17" i="54" s="1"/>
  <c r="G45" i="54" s="1"/>
  <c r="AI18" i="54"/>
  <c r="AJ18" i="54" s="1"/>
  <c r="G46" i="54" s="1"/>
  <c r="AI19" i="54"/>
  <c r="AJ19" i="54" s="1"/>
  <c r="G47" i="54" s="1"/>
  <c r="AI20" i="54"/>
  <c r="AJ20" i="54" s="1"/>
  <c r="G48" i="54" s="1"/>
  <c r="AI21" i="54"/>
  <c r="AJ21" i="54" s="1"/>
  <c r="G49" i="54" s="1"/>
  <c r="AI22" i="54"/>
  <c r="AJ22" i="54" s="1"/>
  <c r="G50" i="54" s="1"/>
  <c r="AI23" i="54"/>
  <c r="AJ23" i="54" s="1"/>
  <c r="G51" i="54" s="1"/>
  <c r="AI24" i="54"/>
  <c r="AJ24" i="54" s="1"/>
  <c r="G52" i="54" s="1"/>
  <c r="AI25" i="54"/>
  <c r="AJ25" i="54" s="1"/>
  <c r="G53" i="54" s="1"/>
  <c r="AI26" i="54"/>
  <c r="AJ26" i="54" s="1"/>
  <c r="G54" i="54" s="1"/>
  <c r="AI27" i="54"/>
  <c r="AJ27" i="54" s="1"/>
  <c r="G55" i="54" s="1"/>
  <c r="AI28" i="54"/>
  <c r="AJ28" i="54" s="1"/>
  <c r="G56" i="54" s="1"/>
  <c r="AI29" i="54"/>
  <c r="AJ29" i="54" s="1"/>
  <c r="G57" i="54" s="1"/>
  <c r="AI30" i="54"/>
  <c r="AJ30" i="54" s="1"/>
  <c r="G58" i="54" s="1"/>
  <c r="AI31" i="54"/>
  <c r="AJ31" i="54" s="1"/>
  <c r="G59" i="54" s="1"/>
  <c r="AI32" i="54"/>
  <c r="AJ32" i="54" s="1"/>
  <c r="G60" i="54" s="1"/>
  <c r="AI33" i="54"/>
  <c r="AJ33" i="54" s="1"/>
  <c r="G61" i="54" s="1"/>
  <c r="AI34" i="54"/>
  <c r="AJ34" i="54" s="1"/>
  <c r="G62" i="54" s="1"/>
  <c r="AD35" i="54"/>
  <c r="AE35" i="54" s="1"/>
  <c r="D63" i="54" s="1"/>
  <c r="AI37" i="53"/>
  <c r="AJ37" i="53" s="1"/>
  <c r="G65" i="53" s="1"/>
  <c r="BA33" i="53"/>
  <c r="BA29" i="53"/>
  <c r="BA36" i="53"/>
  <c r="BA32" i="53"/>
  <c r="BA28" i="53"/>
  <c r="BA37" i="53"/>
  <c r="AJ36" i="53"/>
  <c r="G64" i="53" s="1"/>
  <c r="BA35" i="53"/>
  <c r="BA31" i="53"/>
  <c r="BA27" i="53"/>
  <c r="BA22" i="53"/>
  <c r="BA20" i="53"/>
  <c r="BA16" i="53"/>
  <c r="BA21" i="53"/>
  <c r="BA19" i="53"/>
  <c r="BA30" i="53"/>
  <c r="BA25" i="53"/>
  <c r="BA18" i="53"/>
  <c r="BA15" i="53"/>
  <c r="BA17" i="53"/>
  <c r="BA24" i="53"/>
  <c r="BA34" i="53"/>
  <c r="BA26" i="53"/>
  <c r="BA23" i="53"/>
  <c r="AE36" i="53"/>
  <c r="D64" i="53" s="1"/>
  <c r="AD37" i="53"/>
  <c r="AE37" i="53" s="1"/>
  <c r="D65" i="53" s="1"/>
  <c r="AC36" i="52"/>
  <c r="AW33" i="52"/>
  <c r="AW29" i="52"/>
  <c r="AW36" i="52"/>
  <c r="AW32" i="52"/>
  <c r="AW28" i="52"/>
  <c r="AW37" i="52"/>
  <c r="AW35" i="52"/>
  <c r="AW22" i="52"/>
  <c r="AW20" i="52"/>
  <c r="AW16" i="52"/>
  <c r="AD16" i="52"/>
  <c r="AE16" i="52" s="1"/>
  <c r="D44" i="52" s="1"/>
  <c r="C64" i="52"/>
  <c r="AD36" i="52"/>
  <c r="AW34" i="52"/>
  <c r="AW21" i="52"/>
  <c r="AW19" i="52"/>
  <c r="AW31" i="52"/>
  <c r="AW27" i="52"/>
  <c r="AW25" i="52"/>
  <c r="AW18" i="52"/>
  <c r="AW30" i="52"/>
  <c r="AW26" i="52"/>
  <c r="AW24" i="52"/>
  <c r="AW23" i="52"/>
  <c r="AW17" i="52"/>
  <c r="AW15" i="52"/>
  <c r="AD17" i="52"/>
  <c r="AE17" i="52" s="1"/>
  <c r="D45" i="52" s="1"/>
  <c r="AD18" i="52"/>
  <c r="AE18" i="52" s="1"/>
  <c r="D46" i="52" s="1"/>
  <c r="AD19" i="52"/>
  <c r="AE19" i="52" s="1"/>
  <c r="D47" i="52" s="1"/>
  <c r="AD20" i="52"/>
  <c r="AE20" i="52" s="1"/>
  <c r="D48" i="52" s="1"/>
  <c r="AD21" i="52"/>
  <c r="AE21" i="52" s="1"/>
  <c r="D49" i="52" s="1"/>
  <c r="AD22" i="52"/>
  <c r="AE22" i="52" s="1"/>
  <c r="D50" i="52" s="1"/>
  <c r="AD23" i="52"/>
  <c r="AE23" i="52" s="1"/>
  <c r="D51" i="52" s="1"/>
  <c r="AD24" i="52"/>
  <c r="AE24" i="52" s="1"/>
  <c r="D52" i="52" s="1"/>
  <c r="AD25" i="52"/>
  <c r="AE25" i="52" s="1"/>
  <c r="D53" i="52" s="1"/>
  <c r="AD26" i="52"/>
  <c r="AE26" i="52" s="1"/>
  <c r="D54" i="52" s="1"/>
  <c r="AD27" i="52"/>
  <c r="AE27" i="52" s="1"/>
  <c r="D55" i="52" s="1"/>
  <c r="AD28" i="52"/>
  <c r="AE28" i="52" s="1"/>
  <c r="D56" i="52" s="1"/>
  <c r="AD29" i="52"/>
  <c r="AE29" i="52" s="1"/>
  <c r="D57" i="52" s="1"/>
  <c r="AD30" i="52"/>
  <c r="AE30" i="52" s="1"/>
  <c r="D58" i="52" s="1"/>
  <c r="AD31" i="52"/>
  <c r="AE31" i="52" s="1"/>
  <c r="D59" i="52" s="1"/>
  <c r="AD32" i="52"/>
  <c r="AE32" i="52" s="1"/>
  <c r="D60" i="52" s="1"/>
  <c r="AD33" i="52"/>
  <c r="AE33" i="52" s="1"/>
  <c r="D61" i="52" s="1"/>
  <c r="AD34" i="52"/>
  <c r="AE34" i="52" s="1"/>
  <c r="D62" i="52" s="1"/>
  <c r="AH36" i="52"/>
  <c r="AI36" i="52" s="1"/>
  <c r="F64" i="52"/>
  <c r="AI16" i="52"/>
  <c r="AJ16" i="52" s="1"/>
  <c r="G44" i="52" s="1"/>
  <c r="AI17" i="52"/>
  <c r="AJ17" i="52" s="1"/>
  <c r="G45" i="52" s="1"/>
  <c r="AI18" i="52"/>
  <c r="AJ18" i="52" s="1"/>
  <c r="G46" i="52" s="1"/>
  <c r="AI19" i="52"/>
  <c r="AJ19" i="52" s="1"/>
  <c r="G47" i="52" s="1"/>
  <c r="AI20" i="52"/>
  <c r="AJ20" i="52" s="1"/>
  <c r="G48" i="52" s="1"/>
  <c r="AI21" i="52"/>
  <c r="AJ21" i="52" s="1"/>
  <c r="G49" i="52" s="1"/>
  <c r="AI22" i="52"/>
  <c r="AJ22" i="52" s="1"/>
  <c r="G50" i="52" s="1"/>
  <c r="AI23" i="52"/>
  <c r="AJ23" i="52" s="1"/>
  <c r="G51" i="52" s="1"/>
  <c r="AI24" i="52"/>
  <c r="AJ24" i="52" s="1"/>
  <c r="G52" i="52" s="1"/>
  <c r="AI25" i="52"/>
  <c r="AJ25" i="52" s="1"/>
  <c r="G53" i="52" s="1"/>
  <c r="AI26" i="52"/>
  <c r="AJ26" i="52" s="1"/>
  <c r="G54" i="52" s="1"/>
  <c r="AI27" i="52"/>
  <c r="AJ27" i="52" s="1"/>
  <c r="G55" i="52" s="1"/>
  <c r="AI28" i="52"/>
  <c r="AJ28" i="52" s="1"/>
  <c r="G56" i="52" s="1"/>
  <c r="AI29" i="52"/>
  <c r="AJ29" i="52" s="1"/>
  <c r="G57" i="52" s="1"/>
  <c r="AI30" i="52"/>
  <c r="AJ30" i="52" s="1"/>
  <c r="G58" i="52" s="1"/>
  <c r="AI31" i="52"/>
  <c r="AJ31" i="52" s="1"/>
  <c r="G59" i="52" s="1"/>
  <c r="AI32" i="52"/>
  <c r="AJ32" i="52" s="1"/>
  <c r="G60" i="52" s="1"/>
  <c r="AI33" i="52"/>
  <c r="AJ33" i="52" s="1"/>
  <c r="G61" i="52" s="1"/>
  <c r="AI34" i="52"/>
  <c r="AJ34" i="52" s="1"/>
  <c r="G62" i="52" s="1"/>
  <c r="AI35" i="52"/>
  <c r="AJ35" i="52" s="1"/>
  <c r="G63" i="52" s="1"/>
  <c r="AD35" i="52"/>
  <c r="AE35" i="52" s="1"/>
  <c r="D63" i="52" s="1"/>
  <c r="AG36" i="47"/>
  <c r="AH35" i="47"/>
  <c r="F63" i="47"/>
  <c r="C63" i="47"/>
  <c r="AB36" i="47"/>
  <c r="AC35" i="47"/>
  <c r="AH36" i="45"/>
  <c r="AI36" i="45" s="1"/>
  <c r="F64" i="45"/>
  <c r="AI16" i="45"/>
  <c r="AJ16" i="45" s="1"/>
  <c r="G44" i="45" s="1"/>
  <c r="AI17" i="45"/>
  <c r="AJ17" i="45" s="1"/>
  <c r="G45" i="45" s="1"/>
  <c r="AI18" i="45"/>
  <c r="AJ18" i="45" s="1"/>
  <c r="G46" i="45" s="1"/>
  <c r="AI19" i="45"/>
  <c r="AJ19" i="45" s="1"/>
  <c r="G47" i="45" s="1"/>
  <c r="AI20" i="45"/>
  <c r="AJ20" i="45" s="1"/>
  <c r="G48" i="45" s="1"/>
  <c r="AI21" i="45"/>
  <c r="AJ21" i="45" s="1"/>
  <c r="G49" i="45" s="1"/>
  <c r="AI22" i="45"/>
  <c r="AJ22" i="45" s="1"/>
  <c r="G50" i="45" s="1"/>
  <c r="AI23" i="45"/>
  <c r="AJ23" i="45" s="1"/>
  <c r="G51" i="45" s="1"/>
  <c r="AI24" i="45"/>
  <c r="AJ24" i="45" s="1"/>
  <c r="G52" i="45" s="1"/>
  <c r="AI25" i="45"/>
  <c r="AJ25" i="45" s="1"/>
  <c r="G53" i="45" s="1"/>
  <c r="AI26" i="45"/>
  <c r="AJ26" i="45" s="1"/>
  <c r="G54" i="45" s="1"/>
  <c r="AI27" i="45"/>
  <c r="AJ27" i="45" s="1"/>
  <c r="G55" i="45" s="1"/>
  <c r="AI28" i="45"/>
  <c r="AJ28" i="45" s="1"/>
  <c r="G56" i="45" s="1"/>
  <c r="AI29" i="45"/>
  <c r="AJ29" i="45" s="1"/>
  <c r="G57" i="45" s="1"/>
  <c r="AI30" i="45"/>
  <c r="AJ30" i="45" s="1"/>
  <c r="G58" i="45" s="1"/>
  <c r="AI31" i="45"/>
  <c r="AJ31" i="45" s="1"/>
  <c r="G59" i="45" s="1"/>
  <c r="AI32" i="45"/>
  <c r="AJ32" i="45" s="1"/>
  <c r="G60" i="45" s="1"/>
  <c r="AI33" i="45"/>
  <c r="AJ33" i="45" s="1"/>
  <c r="G61" i="45" s="1"/>
  <c r="AI34" i="45"/>
  <c r="AJ34" i="45" s="1"/>
  <c r="G62" i="45" s="1"/>
  <c r="AC36" i="45"/>
  <c r="AW33" i="45"/>
  <c r="AW29" i="45"/>
  <c r="AW36" i="45"/>
  <c r="AW32" i="45"/>
  <c r="AW28" i="45"/>
  <c r="AW37" i="45"/>
  <c r="AW35" i="45"/>
  <c r="AW25" i="45"/>
  <c r="C64" i="45"/>
  <c r="AD36" i="45"/>
  <c r="AW34" i="45"/>
  <c r="AW26" i="45"/>
  <c r="AW24" i="45"/>
  <c r="AW23" i="45"/>
  <c r="AW17" i="45"/>
  <c r="AW31" i="45"/>
  <c r="AW22" i="45"/>
  <c r="AW20" i="45"/>
  <c r="AW18" i="45"/>
  <c r="AD16" i="45"/>
  <c r="AE16" i="45" s="1"/>
  <c r="D44" i="45" s="1"/>
  <c r="AW30" i="45"/>
  <c r="AW27" i="45"/>
  <c r="AW19" i="45"/>
  <c r="AW16" i="45"/>
  <c r="AW15" i="45"/>
  <c r="AW21" i="45"/>
  <c r="AD17" i="45"/>
  <c r="AE17" i="45" s="1"/>
  <c r="D45" i="45" s="1"/>
  <c r="AD18" i="45"/>
  <c r="AE18" i="45" s="1"/>
  <c r="D46" i="45" s="1"/>
  <c r="AD19" i="45"/>
  <c r="AE19" i="45" s="1"/>
  <c r="D47" i="45" s="1"/>
  <c r="AD20" i="45"/>
  <c r="AE20" i="45" s="1"/>
  <c r="D48" i="45" s="1"/>
  <c r="AD21" i="45"/>
  <c r="AE21" i="45" s="1"/>
  <c r="D49" i="45" s="1"/>
  <c r="AD22" i="45"/>
  <c r="AE22" i="45" s="1"/>
  <c r="D50" i="45" s="1"/>
  <c r="AD23" i="45"/>
  <c r="AE23" i="45" s="1"/>
  <c r="D51" i="45" s="1"/>
  <c r="AD24" i="45"/>
  <c r="AE24" i="45" s="1"/>
  <c r="D52" i="45" s="1"/>
  <c r="AD25" i="45"/>
  <c r="AE25" i="45" s="1"/>
  <c r="D53" i="45" s="1"/>
  <c r="AD26" i="45"/>
  <c r="AE26" i="45" s="1"/>
  <c r="D54" i="45" s="1"/>
  <c r="AD27" i="45"/>
  <c r="AE27" i="45" s="1"/>
  <c r="D55" i="45" s="1"/>
  <c r="AD28" i="45"/>
  <c r="AE28" i="45" s="1"/>
  <c r="D56" i="45" s="1"/>
  <c r="AD29" i="45"/>
  <c r="AE29" i="45" s="1"/>
  <c r="D57" i="45" s="1"/>
  <c r="AD30" i="45"/>
  <c r="AE30" i="45" s="1"/>
  <c r="D58" i="45" s="1"/>
  <c r="AD31" i="45"/>
  <c r="AE31" i="45" s="1"/>
  <c r="D59" i="45" s="1"/>
  <c r="AD32" i="45"/>
  <c r="AE32" i="45" s="1"/>
  <c r="D60" i="45" s="1"/>
  <c r="AD33" i="45"/>
  <c r="AE33" i="45" s="1"/>
  <c r="D61" i="45" s="1"/>
  <c r="AD34" i="45"/>
  <c r="AE34" i="45" s="1"/>
  <c r="D62" i="45" s="1"/>
  <c r="AD35" i="45"/>
  <c r="AE35" i="45" s="1"/>
  <c r="D63" i="45" s="1"/>
  <c r="AI35" i="45"/>
  <c r="AJ35" i="45" s="1"/>
  <c r="G63" i="45" s="1"/>
  <c r="AH36" i="44"/>
  <c r="F64" i="44"/>
  <c r="AI36" i="44"/>
  <c r="AI16" i="44"/>
  <c r="AJ16" i="44" s="1"/>
  <c r="G44" i="44" s="1"/>
  <c r="AI17" i="44"/>
  <c r="AJ17" i="44" s="1"/>
  <c r="G45" i="44" s="1"/>
  <c r="AI18" i="44"/>
  <c r="AJ18" i="44" s="1"/>
  <c r="G46" i="44" s="1"/>
  <c r="AI19" i="44"/>
  <c r="AJ19" i="44" s="1"/>
  <c r="G47" i="44" s="1"/>
  <c r="AI20" i="44"/>
  <c r="AJ20" i="44" s="1"/>
  <c r="G48" i="44" s="1"/>
  <c r="AI21" i="44"/>
  <c r="AJ21" i="44" s="1"/>
  <c r="G49" i="44" s="1"/>
  <c r="AI22" i="44"/>
  <c r="AJ22" i="44" s="1"/>
  <c r="G50" i="44" s="1"/>
  <c r="AI23" i="44"/>
  <c r="AJ23" i="44" s="1"/>
  <c r="G51" i="44" s="1"/>
  <c r="AI24" i="44"/>
  <c r="AJ24" i="44" s="1"/>
  <c r="G52" i="44" s="1"/>
  <c r="AI25" i="44"/>
  <c r="AJ25" i="44" s="1"/>
  <c r="G53" i="44" s="1"/>
  <c r="AI26" i="44"/>
  <c r="AJ26" i="44" s="1"/>
  <c r="G54" i="44" s="1"/>
  <c r="AI27" i="44"/>
  <c r="AJ27" i="44" s="1"/>
  <c r="G55" i="44" s="1"/>
  <c r="AI28" i="44"/>
  <c r="AJ28" i="44" s="1"/>
  <c r="G56" i="44" s="1"/>
  <c r="AI29" i="44"/>
  <c r="AJ29" i="44" s="1"/>
  <c r="G57" i="44" s="1"/>
  <c r="AI30" i="44"/>
  <c r="AJ30" i="44" s="1"/>
  <c r="G58" i="44" s="1"/>
  <c r="AI31" i="44"/>
  <c r="AJ31" i="44" s="1"/>
  <c r="G59" i="44" s="1"/>
  <c r="AI32" i="44"/>
  <c r="AJ32" i="44" s="1"/>
  <c r="G60" i="44" s="1"/>
  <c r="AI33" i="44"/>
  <c r="AJ33" i="44" s="1"/>
  <c r="G61" i="44" s="1"/>
  <c r="AI34" i="44"/>
  <c r="AJ34" i="44" s="1"/>
  <c r="G62" i="44" s="1"/>
  <c r="AC36" i="44"/>
  <c r="AW33" i="44"/>
  <c r="AW29" i="44"/>
  <c r="AW36" i="44"/>
  <c r="AW32" i="44"/>
  <c r="AW28" i="44"/>
  <c r="AW37" i="44"/>
  <c r="AW35" i="44"/>
  <c r="AW21" i="44"/>
  <c r="AW19" i="44"/>
  <c r="C64" i="44"/>
  <c r="AD36" i="44"/>
  <c r="AW34" i="44"/>
  <c r="AW25" i="44"/>
  <c r="AW31" i="44"/>
  <c r="AW26" i="44"/>
  <c r="AW24" i="44"/>
  <c r="AW23" i="44"/>
  <c r="AW27" i="44"/>
  <c r="AW20" i="44"/>
  <c r="AW16" i="44"/>
  <c r="AD16" i="44"/>
  <c r="AE16" i="44" s="1"/>
  <c r="D44" i="44" s="1"/>
  <c r="AW30" i="44"/>
  <c r="AW22" i="44"/>
  <c r="AW18" i="44"/>
  <c r="AW15" i="44"/>
  <c r="AW17" i="44"/>
  <c r="AD17" i="44"/>
  <c r="AE17" i="44" s="1"/>
  <c r="D45" i="44" s="1"/>
  <c r="AD18" i="44"/>
  <c r="AE18" i="44" s="1"/>
  <c r="D46" i="44" s="1"/>
  <c r="AD19" i="44"/>
  <c r="AE19" i="44" s="1"/>
  <c r="D47" i="44" s="1"/>
  <c r="AD20" i="44"/>
  <c r="AE20" i="44" s="1"/>
  <c r="D48" i="44" s="1"/>
  <c r="AD21" i="44"/>
  <c r="AE21" i="44" s="1"/>
  <c r="D49" i="44" s="1"/>
  <c r="AD22" i="44"/>
  <c r="AE22" i="44" s="1"/>
  <c r="D50" i="44" s="1"/>
  <c r="AD23" i="44"/>
  <c r="AE23" i="44" s="1"/>
  <c r="D51" i="44" s="1"/>
  <c r="AD24" i="44"/>
  <c r="AE24" i="44" s="1"/>
  <c r="D52" i="44" s="1"/>
  <c r="AD25" i="44"/>
  <c r="AE25" i="44" s="1"/>
  <c r="D53" i="44" s="1"/>
  <c r="AD26" i="44"/>
  <c r="AE26" i="44" s="1"/>
  <c r="D54" i="44" s="1"/>
  <c r="AD27" i="44"/>
  <c r="AE27" i="44" s="1"/>
  <c r="D55" i="44" s="1"/>
  <c r="AD28" i="44"/>
  <c r="AE28" i="44" s="1"/>
  <c r="D56" i="44" s="1"/>
  <c r="AD29" i="44"/>
  <c r="AE29" i="44" s="1"/>
  <c r="D57" i="44" s="1"/>
  <c r="AD30" i="44"/>
  <c r="AE30" i="44" s="1"/>
  <c r="D58" i="44" s="1"/>
  <c r="AD31" i="44"/>
  <c r="AE31" i="44" s="1"/>
  <c r="D59" i="44" s="1"/>
  <c r="AD32" i="44"/>
  <c r="AE32" i="44" s="1"/>
  <c r="D60" i="44" s="1"/>
  <c r="AD33" i="44"/>
  <c r="AE33" i="44" s="1"/>
  <c r="D61" i="44" s="1"/>
  <c r="AD34" i="44"/>
  <c r="AE34" i="44" s="1"/>
  <c r="D62" i="44" s="1"/>
  <c r="AD35" i="44"/>
  <c r="AE35" i="44" s="1"/>
  <c r="D63" i="44" s="1"/>
  <c r="AI35" i="44"/>
  <c r="AJ35" i="44" s="1"/>
  <c r="G63" i="44" s="1"/>
  <c r="AG33" i="42"/>
  <c r="F60" i="42"/>
  <c r="AH32" i="42"/>
  <c r="AB26" i="42"/>
  <c r="C53" i="42"/>
  <c r="AC25" i="42"/>
  <c r="I54" i="42"/>
  <c r="AL27" i="42"/>
  <c r="AM26" i="42"/>
  <c r="AN26" i="42" s="1"/>
  <c r="J54" i="42" s="1"/>
  <c r="AI37" i="54" l="1"/>
  <c r="AJ37" i="54" s="1"/>
  <c r="G65" i="54" s="1"/>
  <c r="BA33" i="54"/>
  <c r="BA29" i="54"/>
  <c r="BA36" i="54"/>
  <c r="BA32" i="54"/>
  <c r="BA37" i="54"/>
  <c r="AJ36" i="54"/>
  <c r="G64" i="54" s="1"/>
  <c r="BA35" i="54"/>
  <c r="BA31" i="54"/>
  <c r="BA27" i="54"/>
  <c r="BA25" i="54"/>
  <c r="BA26" i="54"/>
  <c r="BA24" i="54"/>
  <c r="BA23" i="54"/>
  <c r="BA17" i="54"/>
  <c r="BA30" i="54"/>
  <c r="BA28" i="54"/>
  <c r="BA22" i="54"/>
  <c r="BA20" i="54"/>
  <c r="BA34" i="54"/>
  <c r="BA21" i="54"/>
  <c r="BA16" i="54"/>
  <c r="BA18" i="54"/>
  <c r="BA19" i="54"/>
  <c r="BA15" i="54"/>
  <c r="AE36" i="54"/>
  <c r="D64" i="54" s="1"/>
  <c r="AD37" i="54"/>
  <c r="AE37" i="54" s="1"/>
  <c r="D65" i="54" s="1"/>
  <c r="AI37" i="52"/>
  <c r="AJ37" i="52" s="1"/>
  <c r="G65" i="52" s="1"/>
  <c r="BA33" i="52"/>
  <c r="BA29" i="52"/>
  <c r="BA36" i="52"/>
  <c r="BA32" i="52"/>
  <c r="BA28" i="52"/>
  <c r="BA37" i="52"/>
  <c r="AJ36" i="52"/>
  <c r="G64" i="52" s="1"/>
  <c r="BA35" i="52"/>
  <c r="BA31" i="52"/>
  <c r="BA22" i="52"/>
  <c r="BA20" i="52"/>
  <c r="BA16" i="52"/>
  <c r="BA30" i="52"/>
  <c r="BA21" i="52"/>
  <c r="BA19" i="52"/>
  <c r="BA27" i="52"/>
  <c r="BA25" i="52"/>
  <c r="BA18" i="52"/>
  <c r="BA34" i="52"/>
  <c r="BA26" i="52"/>
  <c r="BA24" i="52"/>
  <c r="BA23" i="52"/>
  <c r="BA17" i="52"/>
  <c r="BA15" i="52"/>
  <c r="AE36" i="52"/>
  <c r="D64" i="52" s="1"/>
  <c r="AD37" i="52"/>
  <c r="AE37" i="52" s="1"/>
  <c r="D65" i="52" s="1"/>
  <c r="AC36" i="47"/>
  <c r="AW33" i="47"/>
  <c r="AW36" i="47"/>
  <c r="AW32" i="47"/>
  <c r="AW28" i="47"/>
  <c r="AW31" i="47"/>
  <c r="AW22" i="47"/>
  <c r="AW20" i="47"/>
  <c r="AW30" i="47"/>
  <c r="AW29" i="47"/>
  <c r="AW27" i="47"/>
  <c r="AW21" i="47"/>
  <c r="AW19" i="47"/>
  <c r="AW37" i="47"/>
  <c r="AW35" i="47"/>
  <c r="AW25" i="47"/>
  <c r="C64" i="47"/>
  <c r="AW34" i="47"/>
  <c r="AW26" i="47"/>
  <c r="AW23" i="47"/>
  <c r="AW15" i="47"/>
  <c r="AD36" i="47"/>
  <c r="AW18" i="47"/>
  <c r="AW17" i="47"/>
  <c r="AW24" i="47"/>
  <c r="AW16" i="47"/>
  <c r="AD16" i="47"/>
  <c r="AE16" i="47" s="1"/>
  <c r="D44" i="47" s="1"/>
  <c r="AD17" i="47"/>
  <c r="AE17" i="47" s="1"/>
  <c r="D45" i="47" s="1"/>
  <c r="AD18" i="47"/>
  <c r="AE18" i="47" s="1"/>
  <c r="D46" i="47" s="1"/>
  <c r="AD19" i="47"/>
  <c r="AE19" i="47" s="1"/>
  <c r="D47" i="47" s="1"/>
  <c r="AD20" i="47"/>
  <c r="AE20" i="47" s="1"/>
  <c r="D48" i="47" s="1"/>
  <c r="AD21" i="47"/>
  <c r="AE21" i="47" s="1"/>
  <c r="D49" i="47" s="1"/>
  <c r="AD22" i="47"/>
  <c r="AE22" i="47" s="1"/>
  <c r="D50" i="47" s="1"/>
  <c r="AD23" i="47"/>
  <c r="AE23" i="47" s="1"/>
  <c r="D51" i="47" s="1"/>
  <c r="AD24" i="47"/>
  <c r="AE24" i="47" s="1"/>
  <c r="D52" i="47" s="1"/>
  <c r="AD25" i="47"/>
  <c r="AE25" i="47" s="1"/>
  <c r="D53" i="47" s="1"/>
  <c r="AD26" i="47"/>
  <c r="AE26" i="47" s="1"/>
  <c r="D54" i="47" s="1"/>
  <c r="AD27" i="47"/>
  <c r="AE27" i="47" s="1"/>
  <c r="D55" i="47" s="1"/>
  <c r="AD28" i="47"/>
  <c r="AE28" i="47" s="1"/>
  <c r="D56" i="47" s="1"/>
  <c r="AD29" i="47"/>
  <c r="AE29" i="47" s="1"/>
  <c r="D57" i="47" s="1"/>
  <c r="AD30" i="47"/>
  <c r="AE30" i="47" s="1"/>
  <c r="D58" i="47" s="1"/>
  <c r="AD31" i="47"/>
  <c r="AE31" i="47" s="1"/>
  <c r="D59" i="47" s="1"/>
  <c r="AD32" i="47"/>
  <c r="AE32" i="47" s="1"/>
  <c r="D60" i="47" s="1"/>
  <c r="AD33" i="47"/>
  <c r="AE33" i="47" s="1"/>
  <c r="D61" i="47" s="1"/>
  <c r="AD34" i="47"/>
  <c r="AE34" i="47" s="1"/>
  <c r="D62" i="47" s="1"/>
  <c r="AH36" i="47"/>
  <c r="AI36" i="47" s="1"/>
  <c r="F64" i="47"/>
  <c r="AI16" i="47"/>
  <c r="AJ16" i="47" s="1"/>
  <c r="G44" i="47" s="1"/>
  <c r="AI17" i="47"/>
  <c r="AJ17" i="47" s="1"/>
  <c r="G45" i="47" s="1"/>
  <c r="AI18" i="47"/>
  <c r="AJ18" i="47" s="1"/>
  <c r="G46" i="47" s="1"/>
  <c r="AI19" i="47"/>
  <c r="AJ19" i="47" s="1"/>
  <c r="G47" i="47" s="1"/>
  <c r="AI20" i="47"/>
  <c r="AJ20" i="47" s="1"/>
  <c r="G48" i="47" s="1"/>
  <c r="AI21" i="47"/>
  <c r="AJ21" i="47" s="1"/>
  <c r="G49" i="47" s="1"/>
  <c r="AI22" i="47"/>
  <c r="AJ22" i="47" s="1"/>
  <c r="G50" i="47" s="1"/>
  <c r="AI23" i="47"/>
  <c r="AJ23" i="47" s="1"/>
  <c r="G51" i="47" s="1"/>
  <c r="AI24" i="47"/>
  <c r="AJ24" i="47" s="1"/>
  <c r="G52" i="47" s="1"/>
  <c r="AI25" i="47"/>
  <c r="AJ25" i="47" s="1"/>
  <c r="G53" i="47" s="1"/>
  <c r="AI26" i="47"/>
  <c r="AJ26" i="47" s="1"/>
  <c r="G54" i="47" s="1"/>
  <c r="AI27" i="47"/>
  <c r="AJ27" i="47" s="1"/>
  <c r="G55" i="47" s="1"/>
  <c r="AI28" i="47"/>
  <c r="AJ28" i="47" s="1"/>
  <c r="G56" i="47" s="1"/>
  <c r="AI29" i="47"/>
  <c r="AJ29" i="47" s="1"/>
  <c r="G57" i="47" s="1"/>
  <c r="AI30" i="47"/>
  <c r="AJ30" i="47" s="1"/>
  <c r="G58" i="47" s="1"/>
  <c r="AI31" i="47"/>
  <c r="AJ31" i="47" s="1"/>
  <c r="G59" i="47" s="1"/>
  <c r="AI32" i="47"/>
  <c r="AJ32" i="47" s="1"/>
  <c r="G60" i="47" s="1"/>
  <c r="AI33" i="47"/>
  <c r="AJ33" i="47" s="1"/>
  <c r="G61" i="47" s="1"/>
  <c r="AI34" i="47"/>
  <c r="AJ34" i="47" s="1"/>
  <c r="G62" i="47" s="1"/>
  <c r="AD35" i="47"/>
  <c r="AE35" i="47" s="1"/>
  <c r="D63" i="47" s="1"/>
  <c r="AI35" i="47"/>
  <c r="AJ35" i="47" s="1"/>
  <c r="G63" i="47" s="1"/>
  <c r="AI37" i="45"/>
  <c r="AJ37" i="45" s="1"/>
  <c r="G65" i="45" s="1"/>
  <c r="BA33" i="45"/>
  <c r="BA29" i="45"/>
  <c r="BA36" i="45"/>
  <c r="BA32" i="45"/>
  <c r="BA28" i="45"/>
  <c r="BA31" i="45"/>
  <c r="BA27" i="45"/>
  <c r="BA25" i="45"/>
  <c r="BA30" i="45"/>
  <c r="BA26" i="45"/>
  <c r="BA24" i="45"/>
  <c r="BA23" i="45"/>
  <c r="BA17" i="45"/>
  <c r="BA37" i="45"/>
  <c r="AJ36" i="45"/>
  <c r="G64" i="45" s="1"/>
  <c r="BA35" i="45"/>
  <c r="BA22" i="45"/>
  <c r="BA20" i="45"/>
  <c r="BA18" i="45"/>
  <c r="BA21" i="45"/>
  <c r="BA15" i="45"/>
  <c r="BA16" i="45"/>
  <c r="BA34" i="45"/>
  <c r="BA19" i="45"/>
  <c r="AE36" i="45"/>
  <c r="D64" i="45" s="1"/>
  <c r="AD37" i="45"/>
  <c r="AE37" i="45" s="1"/>
  <c r="D65" i="45" s="1"/>
  <c r="AI37" i="44"/>
  <c r="AJ37" i="44" s="1"/>
  <c r="G65" i="44" s="1"/>
  <c r="BA33" i="44"/>
  <c r="BA29" i="44"/>
  <c r="BA36" i="44"/>
  <c r="BA32" i="44"/>
  <c r="BA28" i="44"/>
  <c r="BA31" i="44"/>
  <c r="BA27" i="44"/>
  <c r="BA21" i="44"/>
  <c r="BA19" i="44"/>
  <c r="BA30" i="44"/>
  <c r="BA25" i="44"/>
  <c r="BA37" i="44"/>
  <c r="AJ36" i="44"/>
  <c r="G64" i="44" s="1"/>
  <c r="BA35" i="44"/>
  <c r="BA26" i="44"/>
  <c r="BA24" i="44"/>
  <c r="BA23" i="44"/>
  <c r="BA22" i="44"/>
  <c r="BA16" i="44"/>
  <c r="BA20" i="44"/>
  <c r="BA18" i="44"/>
  <c r="BA15" i="44"/>
  <c r="BA34" i="44"/>
  <c r="BA17" i="44"/>
  <c r="AE36" i="44"/>
  <c r="D64" i="44" s="1"/>
  <c r="AD37" i="44"/>
  <c r="AE37" i="44" s="1"/>
  <c r="D65" i="44" s="1"/>
  <c r="AG34" i="42"/>
  <c r="F61" i="42"/>
  <c r="AH33" i="42"/>
  <c r="AL28" i="42"/>
  <c r="I55" i="42"/>
  <c r="AM27" i="42"/>
  <c r="AN27" i="42" s="1"/>
  <c r="J55" i="42" s="1"/>
  <c r="AB27" i="42"/>
  <c r="AC26" i="42"/>
  <c r="C54" i="42"/>
  <c r="AI37" i="47" l="1"/>
  <c r="AJ37" i="47" s="1"/>
  <c r="G65" i="47" s="1"/>
  <c r="BA33" i="47"/>
  <c r="BA36" i="47"/>
  <c r="BA32" i="47"/>
  <c r="BA28" i="47"/>
  <c r="BA37" i="47"/>
  <c r="AJ36" i="47"/>
  <c r="G64" i="47" s="1"/>
  <c r="BA35" i="47"/>
  <c r="BA22" i="47"/>
  <c r="BA20" i="47"/>
  <c r="BA34" i="47"/>
  <c r="BA21" i="47"/>
  <c r="BA19" i="47"/>
  <c r="BA31" i="47"/>
  <c r="BA29" i="47"/>
  <c r="BA27" i="47"/>
  <c r="BA25" i="47"/>
  <c r="BA15" i="47"/>
  <c r="BA30" i="47"/>
  <c r="BA24" i="47"/>
  <c r="BA17" i="47"/>
  <c r="BA26" i="47"/>
  <c r="BA23" i="47"/>
  <c r="BA18" i="47"/>
  <c r="BA16" i="47"/>
  <c r="AE36" i="47"/>
  <c r="D64" i="47" s="1"/>
  <c r="AD37" i="47"/>
  <c r="AE37" i="47" s="1"/>
  <c r="D65" i="47" s="1"/>
  <c r="AG35" i="42"/>
  <c r="F62" i="42"/>
  <c r="AH34" i="42"/>
  <c r="AC27" i="42"/>
  <c r="C55" i="42"/>
  <c r="AB28" i="42"/>
  <c r="AL29" i="42"/>
  <c r="AM28" i="42"/>
  <c r="AN28" i="42" s="1"/>
  <c r="J56" i="42" s="1"/>
  <c r="I56" i="42"/>
  <c r="AG36" i="42" l="1"/>
  <c r="F63" i="42"/>
  <c r="AH35" i="42"/>
  <c r="AC28" i="42"/>
  <c r="AB29" i="42"/>
  <c r="C56" i="42"/>
  <c r="I57" i="42"/>
  <c r="AL30" i="42"/>
  <c r="AM29" i="42"/>
  <c r="AN29" i="42" s="1"/>
  <c r="J57" i="42" s="1"/>
  <c r="AI35" i="42" l="1"/>
  <c r="F64" i="42"/>
  <c r="AI16" i="42"/>
  <c r="AH36" i="42"/>
  <c r="AI36" i="42" s="1"/>
  <c r="AI17" i="42"/>
  <c r="AI18" i="42"/>
  <c r="AI19" i="42"/>
  <c r="AI20" i="42"/>
  <c r="AI21" i="42"/>
  <c r="AI22" i="42"/>
  <c r="AI23" i="42"/>
  <c r="AI24" i="42"/>
  <c r="AI25" i="42"/>
  <c r="AI26" i="42"/>
  <c r="AI27" i="42"/>
  <c r="AI28" i="42"/>
  <c r="AI29" i="42"/>
  <c r="AI30" i="42"/>
  <c r="AI31" i="42"/>
  <c r="AI32" i="42"/>
  <c r="AI33" i="42"/>
  <c r="AI34" i="42"/>
  <c r="C57" i="42"/>
  <c r="AB30" i="42"/>
  <c r="AC29" i="42"/>
  <c r="AL31" i="42"/>
  <c r="I58" i="42"/>
  <c r="AM30" i="42"/>
  <c r="AN30" i="42" s="1"/>
  <c r="J58" i="42" s="1"/>
  <c r="AI37" i="42" l="1"/>
  <c r="BA16" i="42"/>
  <c r="BA24" i="42"/>
  <c r="BA32" i="42"/>
  <c r="BA17" i="42"/>
  <c r="BA25" i="42"/>
  <c r="BA33" i="42"/>
  <c r="BA21" i="42"/>
  <c r="BA37" i="42"/>
  <c r="BA30" i="42"/>
  <c r="BA18" i="42"/>
  <c r="BA26" i="42"/>
  <c r="BA34" i="42"/>
  <c r="BA19" i="42"/>
  <c r="BA27" i="42"/>
  <c r="BA35" i="42"/>
  <c r="BA20" i="42"/>
  <c r="BA28" i="42"/>
  <c r="BA36" i="42"/>
  <c r="BA29" i="42"/>
  <c r="BA22" i="42"/>
  <c r="BA15" i="42"/>
  <c r="BA23" i="42"/>
  <c r="BA31" i="42"/>
  <c r="AL32" i="42"/>
  <c r="I59" i="42"/>
  <c r="AM31" i="42"/>
  <c r="AN31" i="42" s="1"/>
  <c r="J59" i="42" s="1"/>
  <c r="AC30" i="42"/>
  <c r="AB31" i="42"/>
  <c r="C58" i="42"/>
  <c r="AB32" i="42" l="1"/>
  <c r="C59" i="42"/>
  <c r="AC31" i="42"/>
  <c r="AL33" i="42"/>
  <c r="I60" i="42"/>
  <c r="AM32" i="42"/>
  <c r="AN32" i="42" s="1"/>
  <c r="J60" i="42" s="1"/>
  <c r="AL34" i="42" l="1"/>
  <c r="I61" i="42"/>
  <c r="AM33" i="42"/>
  <c r="AN33" i="42" s="1"/>
  <c r="J61" i="42" s="1"/>
  <c r="AB33" i="42"/>
  <c r="C60" i="42"/>
  <c r="AC32" i="42"/>
  <c r="C61" i="42" l="1"/>
  <c r="AB34" i="42"/>
  <c r="AC33" i="42"/>
  <c r="AL35" i="42"/>
  <c r="I62" i="42"/>
  <c r="AM34" i="42"/>
  <c r="AN34" i="42" s="1"/>
  <c r="J62" i="42" s="1"/>
  <c r="AL36" i="42" l="1"/>
  <c r="I63" i="42"/>
  <c r="AM35" i="42"/>
  <c r="AN35" i="42" s="1"/>
  <c r="J63" i="42" s="1"/>
  <c r="AC34" i="42"/>
  <c r="C62" i="42"/>
  <c r="AB35" i="42"/>
  <c r="AB36" i="42" s="1"/>
  <c r="AW19" i="42" l="1"/>
  <c r="AW27" i="42"/>
  <c r="AW35" i="42"/>
  <c r="AW20" i="42"/>
  <c r="AW28" i="42"/>
  <c r="AW36" i="42"/>
  <c r="AW16" i="42"/>
  <c r="AW32" i="42"/>
  <c r="AW17" i="42"/>
  <c r="AW21" i="42"/>
  <c r="AW29" i="42"/>
  <c r="AW37" i="42"/>
  <c r="AW22" i="42"/>
  <c r="AW30" i="42"/>
  <c r="AW15" i="42"/>
  <c r="AW23" i="42"/>
  <c r="AW31" i="42"/>
  <c r="AW24" i="42"/>
  <c r="AW25" i="42"/>
  <c r="AW18" i="42"/>
  <c r="AW26" i="42"/>
  <c r="AW34" i="42"/>
  <c r="AW33" i="42"/>
  <c r="C63" i="42"/>
  <c r="AC35" i="42"/>
  <c r="I64" i="42"/>
  <c r="AM36" i="42"/>
  <c r="AN36" i="42" s="1"/>
  <c r="J64" i="42" s="1"/>
  <c r="AJ16" i="42" l="1"/>
  <c r="G44" i="42" s="1"/>
  <c r="AJ37" i="42"/>
  <c r="G65" i="42" s="1"/>
  <c r="AJ17" i="42"/>
  <c r="G45" i="42" s="1"/>
  <c r="AJ18" i="42"/>
  <c r="G46" i="42" s="1"/>
  <c r="AJ19" i="42"/>
  <c r="G47" i="42" s="1"/>
  <c r="AJ20" i="42"/>
  <c r="G48" i="42" s="1"/>
  <c r="AJ21" i="42"/>
  <c r="G49" i="42" s="1"/>
  <c r="AJ22" i="42"/>
  <c r="G50" i="42" s="1"/>
  <c r="AJ23" i="42"/>
  <c r="G51" i="42" s="1"/>
  <c r="AJ24" i="42"/>
  <c r="G52" i="42" s="1"/>
  <c r="AJ25" i="42"/>
  <c r="G53" i="42" s="1"/>
  <c r="AJ26" i="42"/>
  <c r="G54" i="42" s="1"/>
  <c r="AJ27" i="42"/>
  <c r="G55" i="42" s="1"/>
  <c r="AJ28" i="42"/>
  <c r="G56" i="42" s="1"/>
  <c r="AJ29" i="42"/>
  <c r="G57" i="42" s="1"/>
  <c r="AJ30" i="42"/>
  <c r="G58" i="42" s="1"/>
  <c r="AJ31" i="42"/>
  <c r="G59" i="42" s="1"/>
  <c r="AJ32" i="42"/>
  <c r="G60" i="42" s="1"/>
  <c r="AJ33" i="42"/>
  <c r="G61" i="42" s="1"/>
  <c r="AJ34" i="42"/>
  <c r="G62" i="42" s="1"/>
  <c r="AJ35" i="42"/>
  <c r="G63" i="42" s="1"/>
  <c r="AJ36" i="42"/>
  <c r="G64" i="42" s="1"/>
  <c r="AD36" i="42"/>
  <c r="AD16" i="42"/>
  <c r="AD17" i="42"/>
  <c r="AD18" i="42"/>
  <c r="AD19" i="42"/>
  <c r="AD20" i="42"/>
  <c r="AD21" i="42"/>
  <c r="AD22" i="42"/>
  <c r="AD23" i="42"/>
  <c r="AD24" i="42"/>
  <c r="AD25" i="42"/>
  <c r="AD26" i="42"/>
  <c r="AD27" i="42"/>
  <c r="AD28" i="42"/>
  <c r="AD29" i="42"/>
  <c r="AD30" i="42"/>
  <c r="AD31" i="42"/>
  <c r="AD32" i="42"/>
  <c r="AD33" i="42"/>
  <c r="AD34" i="42"/>
  <c r="AD35" i="42"/>
  <c r="C64" i="42"/>
  <c r="AC36" i="42"/>
  <c r="AE23" i="42" l="1"/>
  <c r="D51" i="42" s="1"/>
  <c r="AE22" i="42"/>
  <c r="D50" i="42" s="1"/>
  <c r="AE16" i="42"/>
  <c r="D44" i="42" s="1"/>
  <c r="AE21" i="42"/>
  <c r="D49" i="42" s="1"/>
  <c r="AE30" i="42"/>
  <c r="D58" i="42" s="1"/>
  <c r="AE28" i="42"/>
  <c r="D56" i="42" s="1"/>
  <c r="AE20" i="42"/>
  <c r="D48" i="42" s="1"/>
  <c r="AE27" i="42"/>
  <c r="D55" i="42" s="1"/>
  <c r="AE19" i="42"/>
  <c r="D47" i="42" s="1"/>
  <c r="AE24" i="42"/>
  <c r="D52" i="42" s="1"/>
  <c r="AD37" i="42"/>
  <c r="AE34" i="42"/>
  <c r="D62" i="42" s="1"/>
  <c r="AE26" i="42"/>
  <c r="D54" i="42" s="1"/>
  <c r="AE18" i="42"/>
  <c r="D46" i="42" s="1"/>
  <c r="AE32" i="42"/>
  <c r="D60" i="42" s="1"/>
  <c r="AE31" i="42"/>
  <c r="D59" i="42" s="1"/>
  <c r="AE29" i="42"/>
  <c r="D57" i="42" s="1"/>
  <c r="AE35" i="42"/>
  <c r="D63" i="42" s="1"/>
  <c r="AE33" i="42"/>
  <c r="D61" i="42" s="1"/>
  <c r="AE25" i="42"/>
  <c r="D53" i="42" s="1"/>
  <c r="AE17" i="42"/>
  <c r="D45" i="42" s="1"/>
  <c r="AE36" i="42"/>
  <c r="D64" i="42" s="1"/>
  <c r="AE37" i="42" l="1"/>
  <c r="D65" i="4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Data" description="Connection to the 'Data' query in the workbook." type="5" refreshedVersion="0" background="1">
    <dbPr connection="Provider=Microsoft.Mashup.OleDb.1;Data Source=$Workbook$;Location=Data;Extended Properties=&quot;&quot;" command="SELECT * FROM [Data]"/>
  </connection>
  <connection id="2" xr16:uid="{00000000-0015-0000-FFFF-FFFF01000000}" keepAlive="1" name="Query - Карактеристике бетона" description="Connection to the 'Карактеристике бетона' query in the workbook." type="5" refreshedVersion="0" background="1">
    <dbPr connection="Provider=Microsoft.Mashup.OleDb.1;Data Source=$Workbook$;Location=Карактеристике бетона;Extended Properties=&quot;&quot;" command="SELECT * FROM [Карактеристике бетона]"/>
  </connection>
</connections>
</file>

<file path=xl/sharedStrings.xml><?xml version="1.0" encoding="utf-8"?>
<sst xmlns="http://schemas.openxmlformats.org/spreadsheetml/2006/main" count="1587" uniqueCount="134">
  <si>
    <t>k</t>
  </si>
  <si>
    <t>b</t>
  </si>
  <si>
    <t>h</t>
  </si>
  <si>
    <r>
      <t>a</t>
    </r>
    <r>
      <rPr>
        <vertAlign val="subscript"/>
        <sz val="11"/>
        <color theme="1"/>
        <rFont val="Calibri"/>
        <family val="2"/>
        <scheme val="minor"/>
      </rPr>
      <t>0</t>
    </r>
  </si>
  <si>
    <r>
      <t>f</t>
    </r>
    <r>
      <rPr>
        <vertAlign val="subscript"/>
        <sz val="10"/>
        <color theme="1"/>
        <rFont val="Calibri"/>
        <family val="2"/>
        <scheme val="minor"/>
      </rPr>
      <t>ck</t>
    </r>
  </si>
  <si>
    <r>
      <t>f</t>
    </r>
    <r>
      <rPr>
        <vertAlign val="subscript"/>
        <sz val="10"/>
        <color theme="1"/>
        <rFont val="Calibri"/>
        <family val="2"/>
        <scheme val="minor"/>
      </rPr>
      <t>cm</t>
    </r>
  </si>
  <si>
    <r>
      <t>E</t>
    </r>
    <r>
      <rPr>
        <vertAlign val="subscript"/>
        <sz val="10"/>
        <color theme="1"/>
        <rFont val="Calibri"/>
        <family val="2"/>
        <scheme val="minor"/>
      </rPr>
      <t>cm</t>
    </r>
  </si>
  <si>
    <r>
      <t>ε</t>
    </r>
    <r>
      <rPr>
        <vertAlign val="subscript"/>
        <sz val="10"/>
        <color theme="1"/>
        <rFont val="Calibri"/>
        <family val="2"/>
        <scheme val="minor"/>
      </rPr>
      <t>c1</t>
    </r>
  </si>
  <si>
    <r>
      <t>ε</t>
    </r>
    <r>
      <rPr>
        <vertAlign val="subscript"/>
        <sz val="10"/>
        <color theme="1"/>
        <rFont val="Calibri"/>
        <family val="2"/>
        <scheme val="minor"/>
      </rPr>
      <t>cu1</t>
    </r>
  </si>
  <si>
    <r>
      <t>ε</t>
    </r>
    <r>
      <rPr>
        <vertAlign val="subscript"/>
        <sz val="10"/>
        <color theme="1"/>
        <rFont val="Calibri"/>
        <family val="2"/>
        <scheme val="minor"/>
      </rPr>
      <t>c2</t>
    </r>
  </si>
  <si>
    <r>
      <t>ε</t>
    </r>
    <r>
      <rPr>
        <vertAlign val="subscript"/>
        <sz val="10"/>
        <color theme="1"/>
        <rFont val="Calibri"/>
        <family val="2"/>
        <scheme val="minor"/>
      </rPr>
      <t>cu2</t>
    </r>
  </si>
  <si>
    <t>n</t>
  </si>
  <si>
    <r>
      <t>ε</t>
    </r>
    <r>
      <rPr>
        <vertAlign val="subscript"/>
        <sz val="10"/>
        <color theme="1"/>
        <rFont val="Calibri"/>
        <family val="2"/>
        <scheme val="minor"/>
      </rPr>
      <t>c3</t>
    </r>
  </si>
  <si>
    <r>
      <t>ε</t>
    </r>
    <r>
      <rPr>
        <vertAlign val="subscript"/>
        <sz val="10"/>
        <color theme="1"/>
        <rFont val="Calibri"/>
        <family val="2"/>
        <scheme val="minor"/>
      </rPr>
      <t>cu3</t>
    </r>
  </si>
  <si>
    <t>[-]</t>
  </si>
  <si>
    <t>[MPa]</t>
  </si>
  <si>
    <t>[GPa]</t>
  </si>
  <si>
    <t>[‰]</t>
  </si>
  <si>
    <t>C12/15</t>
  </si>
  <si>
    <t>C16/20</t>
  </si>
  <si>
    <t>C20/25</t>
  </si>
  <si>
    <t>C25/30</t>
  </si>
  <si>
    <t>C30/37</t>
  </si>
  <si>
    <t>C35/45</t>
  </si>
  <si>
    <t>C40/50</t>
  </si>
  <si>
    <t>C45/55</t>
  </si>
  <si>
    <t>C50/60</t>
  </si>
  <si>
    <r>
      <t>E</t>
    </r>
    <r>
      <rPr>
        <vertAlign val="subscript"/>
        <sz val="10"/>
        <color theme="1"/>
        <rFont val="Calibri"/>
        <family val="2"/>
        <scheme val="minor"/>
      </rPr>
      <t>s</t>
    </r>
  </si>
  <si>
    <t>B500 А</t>
  </si>
  <si>
    <t>B500 B</t>
  </si>
  <si>
    <t>B500 C</t>
  </si>
  <si>
    <t>[mm]</t>
  </si>
  <si>
    <r>
      <t>A</t>
    </r>
    <r>
      <rPr>
        <vertAlign val="subscript"/>
        <sz val="11"/>
        <color theme="1"/>
        <rFont val="Calibri"/>
        <family val="2"/>
        <scheme val="minor"/>
      </rPr>
      <t>sx</t>
    </r>
  </si>
  <si>
    <t>α</t>
  </si>
  <si>
    <t>ε</t>
  </si>
  <si>
    <t>η</t>
  </si>
  <si>
    <r>
      <t>[mm</t>
    </r>
    <r>
      <rPr>
        <vertAlign val="superscript"/>
        <sz val="11"/>
        <color theme="1"/>
        <rFont val="Calibri"/>
        <family val="2"/>
        <scheme val="minor"/>
      </rPr>
      <t>2</t>
    </r>
    <r>
      <rPr>
        <sz val="11"/>
        <color theme="1"/>
        <rFont val="Calibri"/>
        <family val="2"/>
        <scheme val="minor"/>
      </rPr>
      <t>]</t>
    </r>
  </si>
  <si>
    <t>35 - 40</t>
  </si>
  <si>
    <t>Concrete Parameters</t>
  </si>
  <si>
    <t>Class</t>
  </si>
  <si>
    <t>Mark</t>
  </si>
  <si>
    <t>Reinforcement Parameters</t>
  </si>
  <si>
    <r>
      <t>ε</t>
    </r>
    <r>
      <rPr>
        <vertAlign val="subscript"/>
        <sz val="10"/>
        <color theme="1"/>
        <rFont val="Calibri"/>
        <family val="2"/>
        <scheme val="minor"/>
      </rPr>
      <t>sy</t>
    </r>
  </si>
  <si>
    <r>
      <t>ε</t>
    </r>
    <r>
      <rPr>
        <vertAlign val="subscript"/>
        <sz val="10"/>
        <color theme="1"/>
        <rFont val="Calibri"/>
        <family val="2"/>
        <scheme val="minor"/>
      </rPr>
      <t>su</t>
    </r>
  </si>
  <si>
    <r>
      <t>f</t>
    </r>
    <r>
      <rPr>
        <vertAlign val="subscript"/>
        <sz val="10"/>
        <color theme="1"/>
        <rFont val="Calibri"/>
        <family val="2"/>
        <scheme val="minor"/>
      </rPr>
      <t>y</t>
    </r>
  </si>
  <si>
    <r>
      <t>f</t>
    </r>
    <r>
      <rPr>
        <vertAlign val="subscript"/>
        <sz val="10"/>
        <color theme="1"/>
        <rFont val="Calibri"/>
        <family val="2"/>
        <scheme val="minor"/>
      </rPr>
      <t>u</t>
    </r>
    <r>
      <rPr>
        <sz val="8"/>
        <color theme="1"/>
        <rFont val="Calibri"/>
        <family val="2"/>
        <scheme val="minor"/>
      </rPr>
      <t xml:space="preserve"> </t>
    </r>
  </si>
  <si>
    <t>Design Parameters</t>
  </si>
  <si>
    <r>
      <rPr>
        <sz val="11"/>
        <color theme="1"/>
        <rFont val="Calibri"/>
        <family val="2"/>
      </rPr>
      <t>ϒ</t>
    </r>
    <r>
      <rPr>
        <vertAlign val="subscript"/>
        <sz val="11"/>
        <color theme="1"/>
        <rFont val="Calibri"/>
        <family val="2"/>
      </rPr>
      <t>c</t>
    </r>
  </si>
  <si>
    <r>
      <t>α</t>
    </r>
    <r>
      <rPr>
        <vertAlign val="subscript"/>
        <sz val="11"/>
        <color theme="1"/>
        <rFont val="Calibri"/>
        <family val="2"/>
      </rPr>
      <t>cc</t>
    </r>
  </si>
  <si>
    <t>Section Parameters</t>
  </si>
  <si>
    <r>
      <t>ε</t>
    </r>
    <r>
      <rPr>
        <vertAlign val="subscript"/>
        <sz val="10"/>
        <color theme="1"/>
        <rFont val="Calibri"/>
        <family val="2"/>
        <scheme val="minor"/>
      </rPr>
      <t>cy</t>
    </r>
  </si>
  <si>
    <r>
      <rPr>
        <sz val="11"/>
        <color theme="1"/>
        <rFont val="Calibri"/>
        <family val="2"/>
      </rPr>
      <t>φ</t>
    </r>
    <r>
      <rPr>
        <vertAlign val="subscript"/>
        <sz val="11"/>
        <color theme="1"/>
        <rFont val="Calibri"/>
        <family val="2"/>
      </rPr>
      <t>s</t>
    </r>
  </si>
  <si>
    <r>
      <t>s</t>
    </r>
    <r>
      <rPr>
        <vertAlign val="subscript"/>
        <sz val="11"/>
        <color theme="1"/>
        <rFont val="Calibri"/>
        <family val="2"/>
        <scheme val="minor"/>
      </rPr>
      <t>x</t>
    </r>
  </si>
  <si>
    <r>
      <t>s</t>
    </r>
    <r>
      <rPr>
        <vertAlign val="subscript"/>
        <sz val="11"/>
        <color theme="1"/>
        <rFont val="Calibri"/>
        <family val="2"/>
        <scheme val="minor"/>
      </rPr>
      <t>y</t>
    </r>
  </si>
  <si>
    <r>
      <t>b</t>
    </r>
    <r>
      <rPr>
        <vertAlign val="subscript"/>
        <sz val="11"/>
        <color theme="1"/>
        <rFont val="Calibri"/>
        <family val="2"/>
        <scheme val="minor"/>
      </rPr>
      <t>0</t>
    </r>
  </si>
  <si>
    <r>
      <t>h</t>
    </r>
    <r>
      <rPr>
        <vertAlign val="subscript"/>
        <sz val="11"/>
        <color theme="1"/>
        <rFont val="Calibri"/>
        <family val="2"/>
        <scheme val="minor"/>
      </rPr>
      <t>0</t>
    </r>
  </si>
  <si>
    <r>
      <t>A</t>
    </r>
    <r>
      <rPr>
        <vertAlign val="subscript"/>
        <sz val="11"/>
        <color theme="1"/>
        <rFont val="Calibri"/>
        <family val="2"/>
        <scheme val="minor"/>
      </rPr>
      <t>sy</t>
    </r>
  </si>
  <si>
    <t>[%]</t>
  </si>
  <si>
    <r>
      <t>α</t>
    </r>
    <r>
      <rPr>
        <vertAlign val="subscript"/>
        <sz val="11"/>
        <color theme="1"/>
        <rFont val="Calibri"/>
        <family val="2"/>
      </rPr>
      <t>n</t>
    </r>
  </si>
  <si>
    <r>
      <t>α</t>
    </r>
    <r>
      <rPr>
        <vertAlign val="subscript"/>
        <sz val="11"/>
        <color theme="1"/>
        <rFont val="Calibri"/>
        <family val="2"/>
      </rPr>
      <t>s</t>
    </r>
  </si>
  <si>
    <r>
      <t>E</t>
    </r>
    <r>
      <rPr>
        <vertAlign val="subscript"/>
        <sz val="10"/>
        <color theme="1"/>
        <rFont val="Calibri"/>
        <family val="2"/>
        <scheme val="minor"/>
      </rPr>
      <t>c</t>
    </r>
  </si>
  <si>
    <r>
      <t>f</t>
    </r>
    <r>
      <rPr>
        <vertAlign val="subscript"/>
        <sz val="10"/>
        <color theme="1"/>
        <rFont val="Calibri"/>
        <family val="2"/>
        <scheme val="minor"/>
      </rPr>
      <t>ck.c</t>
    </r>
  </si>
  <si>
    <r>
      <t>ε</t>
    </r>
    <r>
      <rPr>
        <vertAlign val="subscript"/>
        <sz val="10"/>
        <color theme="1"/>
        <rFont val="Calibri"/>
        <family val="2"/>
        <scheme val="minor"/>
      </rPr>
      <t>c2.c</t>
    </r>
  </si>
  <si>
    <r>
      <t>ε</t>
    </r>
    <r>
      <rPr>
        <vertAlign val="subscript"/>
        <sz val="10"/>
        <color theme="1"/>
        <rFont val="Calibri"/>
        <family val="2"/>
        <scheme val="minor"/>
      </rPr>
      <t>cu3.c</t>
    </r>
  </si>
  <si>
    <r>
      <rPr>
        <sz val="11"/>
        <color theme="1"/>
        <rFont val="Calibri"/>
        <family val="2"/>
      </rPr>
      <t>σ</t>
    </r>
    <r>
      <rPr>
        <vertAlign val="subscript"/>
        <sz val="11"/>
        <color theme="1"/>
        <rFont val="Calibri"/>
        <family val="2"/>
      </rPr>
      <t>2</t>
    </r>
  </si>
  <si>
    <t>Concrete Parameters - Unconfined</t>
  </si>
  <si>
    <r>
      <t>f</t>
    </r>
    <r>
      <rPr>
        <vertAlign val="subscript"/>
        <sz val="10"/>
        <color theme="1"/>
        <rFont val="Calibri"/>
        <family val="2"/>
        <scheme val="minor"/>
      </rPr>
      <t>ck.cd</t>
    </r>
  </si>
  <si>
    <r>
      <t>σ</t>
    </r>
    <r>
      <rPr>
        <vertAlign val="subscript"/>
        <sz val="11"/>
        <color theme="1"/>
        <rFont val="Calibri"/>
        <family val="2"/>
      </rPr>
      <t>c</t>
    </r>
  </si>
  <si>
    <r>
      <t>σ</t>
    </r>
    <r>
      <rPr>
        <vertAlign val="subscript"/>
        <sz val="11"/>
        <color theme="1"/>
        <rFont val="Calibri"/>
        <family val="2"/>
      </rPr>
      <t>cc</t>
    </r>
  </si>
  <si>
    <t>ϒs</t>
  </si>
  <si>
    <t>σ - ε Reinforcement</t>
  </si>
  <si>
    <r>
      <t>σ</t>
    </r>
    <r>
      <rPr>
        <vertAlign val="subscript"/>
        <sz val="11"/>
        <color theme="1"/>
        <rFont val="Calibri"/>
        <family val="2"/>
      </rPr>
      <t>s</t>
    </r>
  </si>
  <si>
    <r>
      <t>σ</t>
    </r>
    <r>
      <rPr>
        <vertAlign val="subscript"/>
        <sz val="11"/>
        <color theme="1"/>
        <rFont val="Calibri"/>
        <family val="2"/>
      </rPr>
      <t>sD</t>
    </r>
  </si>
  <si>
    <r>
      <t>σ</t>
    </r>
    <r>
      <rPr>
        <vertAlign val="subscript"/>
        <sz val="11"/>
        <color theme="1"/>
        <rFont val="Calibri"/>
        <family val="2"/>
      </rPr>
      <t>cD</t>
    </r>
  </si>
  <si>
    <r>
      <t>σ</t>
    </r>
    <r>
      <rPr>
        <vertAlign val="subscript"/>
        <sz val="11"/>
        <color theme="1"/>
        <rFont val="Calibri"/>
        <family val="2"/>
      </rPr>
      <t>ccD</t>
    </r>
  </si>
  <si>
    <r>
      <t>σ</t>
    </r>
    <r>
      <rPr>
        <vertAlign val="subscript"/>
        <sz val="11"/>
        <color theme="1"/>
        <rFont val="Calibri"/>
        <family val="2"/>
      </rPr>
      <t>cc.D</t>
    </r>
  </si>
  <si>
    <r>
      <t>σ</t>
    </r>
    <r>
      <rPr>
        <vertAlign val="subscript"/>
        <sz val="11"/>
        <color theme="1"/>
        <rFont val="Calibri"/>
        <family val="2"/>
      </rPr>
      <t>c.D</t>
    </r>
  </si>
  <si>
    <r>
      <t>σ</t>
    </r>
    <r>
      <rPr>
        <vertAlign val="subscript"/>
        <sz val="11"/>
        <color theme="1"/>
        <rFont val="Calibri"/>
        <family val="2"/>
      </rPr>
      <t>s.D</t>
    </r>
  </si>
  <si>
    <t>Mark 
(BAB '87)</t>
  </si>
  <si>
    <t>[kPa]</t>
  </si>
  <si>
    <r>
      <t>ε</t>
    </r>
    <r>
      <rPr>
        <vertAlign val="subscript"/>
        <sz val="10"/>
        <color theme="1"/>
        <rFont val="Calibri"/>
        <family val="2"/>
        <scheme val="minor"/>
      </rPr>
      <t>su.k</t>
    </r>
  </si>
  <si>
    <r>
      <t>ε</t>
    </r>
    <r>
      <rPr>
        <vertAlign val="subscript"/>
        <sz val="10"/>
        <color theme="1"/>
        <rFont val="Calibri"/>
        <family val="2"/>
        <scheme val="minor"/>
      </rPr>
      <t>su.d</t>
    </r>
  </si>
  <si>
    <t>s</t>
  </si>
  <si>
    <r>
      <t>φ</t>
    </r>
    <r>
      <rPr>
        <vertAlign val="subscript"/>
        <sz val="11"/>
        <color theme="1"/>
        <rFont val="Calibri"/>
        <family val="2"/>
      </rPr>
      <t>f</t>
    </r>
  </si>
  <si>
    <r>
      <t>s</t>
    </r>
    <r>
      <rPr>
        <vertAlign val="subscript"/>
        <sz val="11"/>
        <color theme="1"/>
        <rFont val="Calibri"/>
        <family val="2"/>
        <scheme val="minor"/>
      </rPr>
      <t>x.ass</t>
    </r>
  </si>
  <si>
    <r>
      <t>s</t>
    </r>
    <r>
      <rPr>
        <vertAlign val="subscript"/>
        <sz val="11"/>
        <color theme="1"/>
        <rFont val="Calibri"/>
        <family val="2"/>
        <scheme val="minor"/>
      </rPr>
      <t>y.ass</t>
    </r>
  </si>
  <si>
    <r>
      <rPr>
        <b/>
        <sz val="11"/>
        <color theme="1"/>
        <rFont val="Calibri"/>
        <family val="2"/>
      </rPr>
      <t xml:space="preserve">σ - ε </t>
    </r>
    <r>
      <rPr>
        <b/>
        <sz val="11"/>
        <color theme="1"/>
        <rFont val="Calibri"/>
        <family val="2"/>
        <scheme val="minor"/>
      </rPr>
      <t>Confined Concrete EC2</t>
    </r>
  </si>
  <si>
    <t>σ - ε Unconfined Concrete EC2</t>
  </si>
  <si>
    <r>
      <rPr>
        <b/>
        <sz val="11"/>
        <color theme="1"/>
        <rFont val="Calibri"/>
        <family val="2"/>
      </rPr>
      <t xml:space="preserve">σ - ε </t>
    </r>
    <r>
      <rPr>
        <b/>
        <sz val="11"/>
        <color theme="1"/>
        <rFont val="Calibri"/>
        <family val="2"/>
        <scheme val="minor"/>
      </rPr>
      <t>Confined Concrete EC8</t>
    </r>
  </si>
  <si>
    <t>Confined Concrete EC2</t>
  </si>
  <si>
    <t>Unconfined Concrete EC2</t>
  </si>
  <si>
    <t>Concrete Parameters - Confined EC2</t>
  </si>
  <si>
    <t>Concrete Parameters - Confined EC8</t>
  </si>
  <si>
    <t>Confined Concrete EC8</t>
  </si>
  <si>
    <r>
      <t xml:space="preserve">SAP2000 NONLINEAR MATERIAL DATA - INPUT </t>
    </r>
    <r>
      <rPr>
        <b/>
        <sz val="14"/>
        <color rgb="FFFF0000"/>
        <rFont val="Calibri"/>
        <family val="2"/>
        <scheme val="minor"/>
      </rPr>
      <t>[UNITS kN / m / C</t>
    </r>
    <r>
      <rPr>
        <b/>
        <sz val="14"/>
        <color rgb="FFFF0000"/>
        <rFont val="Calibri"/>
        <family val="2"/>
      </rPr>
      <t>°]</t>
    </r>
  </si>
  <si>
    <r>
      <t>s</t>
    </r>
    <r>
      <rPr>
        <vertAlign val="subscript"/>
        <sz val="11"/>
        <color theme="1"/>
        <rFont val="Calibri"/>
        <family val="2"/>
        <scheme val="minor"/>
      </rPr>
      <t>x.c</t>
    </r>
  </si>
  <si>
    <r>
      <t>s</t>
    </r>
    <r>
      <rPr>
        <vertAlign val="subscript"/>
        <sz val="11"/>
        <color theme="1"/>
        <rFont val="Calibri"/>
        <family val="2"/>
        <scheme val="minor"/>
      </rPr>
      <t>y.c</t>
    </r>
  </si>
  <si>
    <t>Max</t>
  </si>
  <si>
    <t>Min</t>
  </si>
  <si>
    <t>Confinement</t>
  </si>
  <si>
    <t>Bar Size</t>
  </si>
  <si>
    <t>Conf</t>
  </si>
  <si>
    <r>
      <rPr>
        <sz val="11"/>
        <color theme="1"/>
        <rFont val="Calibri"/>
        <family val="2"/>
      </rPr>
      <t>ρ</t>
    </r>
    <r>
      <rPr>
        <vertAlign val="subscript"/>
        <sz val="11"/>
        <color theme="1"/>
        <rFont val="Calibri"/>
        <family val="2"/>
        <scheme val="minor"/>
      </rPr>
      <t>swx</t>
    </r>
  </si>
  <si>
    <r>
      <rPr>
        <sz val="11"/>
        <color theme="1"/>
        <rFont val="Calibri"/>
        <family val="2"/>
      </rPr>
      <t>ρ</t>
    </r>
    <r>
      <rPr>
        <vertAlign val="subscript"/>
        <sz val="11"/>
        <color theme="1"/>
        <rFont val="Calibri"/>
        <family val="2"/>
        <scheme val="minor"/>
      </rPr>
      <t>swy</t>
    </r>
  </si>
  <si>
    <r>
      <t>n</t>
    </r>
    <r>
      <rPr>
        <vertAlign val="subscript"/>
        <sz val="11"/>
        <color theme="1"/>
        <rFont val="Calibri"/>
        <family val="2"/>
        <scheme val="minor"/>
      </rPr>
      <t>x.c</t>
    </r>
  </si>
  <si>
    <r>
      <t>n</t>
    </r>
    <r>
      <rPr>
        <vertAlign val="subscript"/>
        <sz val="11"/>
        <color theme="1"/>
        <rFont val="Calibri"/>
        <family val="2"/>
        <scheme val="minor"/>
      </rPr>
      <t>y.c</t>
    </r>
  </si>
  <si>
    <t>Type</t>
  </si>
  <si>
    <t>Column</t>
  </si>
  <si>
    <t>Wall</t>
  </si>
  <si>
    <r>
      <t>ρ</t>
    </r>
    <r>
      <rPr>
        <vertAlign val="subscript"/>
        <sz val="11"/>
        <color theme="1"/>
        <rFont val="Calibri"/>
        <family val="2"/>
      </rPr>
      <t>L</t>
    </r>
  </si>
  <si>
    <t>Comment on flexural RFT</t>
  </si>
  <si>
    <t>Comment on confinement RFT</t>
  </si>
  <si>
    <t>Comment on Volumetric Ratio</t>
  </si>
  <si>
    <r>
      <rPr>
        <sz val="11"/>
        <color theme="1"/>
        <rFont val="Calibri"/>
        <family val="2"/>
      </rPr>
      <t>ω</t>
    </r>
    <r>
      <rPr>
        <vertAlign val="subscript"/>
        <sz val="11"/>
        <color theme="1"/>
        <rFont val="Calibri"/>
        <family val="2"/>
      </rPr>
      <t>wd</t>
    </r>
  </si>
  <si>
    <t xml:space="preserve">Formulas are derived only for rectangular strirrups. Diamond shapes, if are to be used, require formulas to be adjusted </t>
  </si>
  <si>
    <t>Spacing 1</t>
  </si>
  <si>
    <t>Spacing 2</t>
  </si>
  <si>
    <r>
      <rPr>
        <sz val="11"/>
        <color theme="1"/>
        <rFont val="Calibri"/>
        <family val="2"/>
      </rPr>
      <t>n</t>
    </r>
    <r>
      <rPr>
        <vertAlign val="subscript"/>
        <sz val="11"/>
        <color theme="1"/>
        <rFont val="Calibri"/>
        <family val="2"/>
        <scheme val="minor"/>
      </rPr>
      <t>x</t>
    </r>
  </si>
  <si>
    <r>
      <rPr>
        <sz val="11"/>
        <color theme="1"/>
        <rFont val="Calibri"/>
        <family val="2"/>
      </rPr>
      <t>n</t>
    </r>
    <r>
      <rPr>
        <vertAlign val="subscript"/>
        <sz val="11"/>
        <color theme="1"/>
        <rFont val="Calibri"/>
        <family val="2"/>
        <scheme val="minor"/>
      </rPr>
      <t>y</t>
    </r>
  </si>
  <si>
    <t>Designer has a choice to either restrain every available flexural bar (MAX), or only the very least, where every second bar is restrained with maxium spacing of 200mm (MIN). As other possibilites are hard to compute in general terms for the same reasons as above</t>
  </si>
  <si>
    <t>Seismic Design, Assessment and Retrofitting of Concrete Buildings Based on EN - Fardis</t>
  </si>
  <si>
    <t>Refereces:</t>
  </si>
  <si>
    <t>Modeli utegnutog betona prema Evrokodu 2 i Evrokodu 8 i njihov uticaj na seizmički odgovor AB okvira - Ladjinovic</t>
  </si>
  <si>
    <r>
      <t>Descending branch of σ-</t>
    </r>
    <r>
      <rPr>
        <b/>
        <sz val="16"/>
        <color rgb="FFFF0000"/>
        <rFont val="Calibri"/>
        <family val="2"/>
      </rPr>
      <t>ε diagram for confined concrete in both EC2 and EC8 Model is taken to be linear with ultimate stress of 85% of peak stress since this more closley resmbles behaviour of concrete under cyclic loading</t>
    </r>
  </si>
  <si>
    <t>Suported</t>
  </si>
  <si>
    <t>Formulas to be adjusted</t>
  </si>
  <si>
    <r>
      <rPr>
        <sz val="11"/>
        <color theme="1"/>
        <rFont val="Calibri"/>
        <family val="2"/>
      </rPr>
      <t>ρ</t>
    </r>
    <r>
      <rPr>
        <vertAlign val="subscript"/>
        <sz val="11"/>
        <color theme="1"/>
        <rFont val="Calibri"/>
        <family val="2"/>
        <scheme val="minor"/>
      </rPr>
      <t>sw</t>
    </r>
  </si>
  <si>
    <r>
      <t>ω</t>
    </r>
    <r>
      <rPr>
        <vertAlign val="subscript"/>
        <sz val="11"/>
        <color theme="1"/>
        <rFont val="Calibri"/>
        <family val="2"/>
      </rPr>
      <t>w</t>
    </r>
  </si>
  <si>
    <t>Recomandation by Fardis to take twice the minimal confining stress in each direction is used. In general using equation (σ2+4σ3)/5 for value of "average" confining stress is in general not sufficient to justify extra computation needed for it to be aplied</t>
  </si>
  <si>
    <t>Without Hardening</t>
  </si>
  <si>
    <t>With Hardening</t>
  </si>
  <si>
    <t>Reinforcement Without Hardening</t>
  </si>
  <si>
    <t>Reinforcement With Hardening</t>
  </si>
  <si>
    <t>Only spacings of flexural reinforcement of 50, 100, 150, 200 are available to simplify computation as it negates computational diffuculty if spacing of restrained bars differs over one direction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</si>
</sst>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
    <numFmt numFmtId="168" formatCode="0.00000"/>
  </numFmts>
  <fonts count="23" x14ac:knownFonts="1">
    <font>
      <sz val="11"/>
      <color theme="1"/>
      <name val="Calibri"/>
      <family val="2"/>
      <scheme val="minor"/>
    </font>
    <font>
      <vertAlign val="subscript"/>
      <sz val="11"/>
      <color theme="1"/>
      <name val="Calibri"/>
      <family val="2"/>
      <scheme val="minor"/>
    </font>
    <font>
      <vertAlign val="superscript"/>
      <sz val="11"/>
      <color theme="1"/>
      <name val="Calibri"/>
      <family val="2"/>
      <scheme val="minor"/>
    </font>
    <font>
      <sz val="11"/>
      <color theme="1"/>
      <name val="Calibri"/>
      <family val="2"/>
    </font>
    <font>
      <vertAlign val="subscript"/>
      <sz val="11"/>
      <color theme="1"/>
      <name val="Calibri"/>
      <family val="2"/>
    </font>
    <font>
      <sz val="10"/>
      <color theme="1"/>
      <name val="Calibri"/>
      <family val="2"/>
      <scheme val="minor"/>
    </font>
    <font>
      <vertAlign val="subscript"/>
      <sz val="10"/>
      <color theme="1"/>
      <name val="Calibri"/>
      <family val="2"/>
      <scheme val="minor"/>
    </font>
    <font>
      <b/>
      <sz val="11"/>
      <color theme="1"/>
      <name val="Calibri"/>
      <family val="2"/>
      <scheme val="minor"/>
    </font>
    <font>
      <sz val="8"/>
      <color theme="1"/>
      <name val="Calibri"/>
      <family val="2"/>
      <scheme val="minor"/>
    </font>
    <font>
      <sz val="11"/>
      <color theme="1"/>
      <name val="Calibri"/>
      <family val="2"/>
      <scheme val="minor"/>
    </font>
    <font>
      <sz val="17"/>
      <color theme="0"/>
      <name val="Calibri"/>
      <family val="2"/>
      <scheme val="minor"/>
    </font>
    <font>
      <sz val="11"/>
      <color rgb="FF0B744D"/>
      <name val="Calibri"/>
      <family val="2"/>
      <scheme val="minor"/>
    </font>
    <font>
      <sz val="72"/>
      <color theme="0"/>
      <name val="Calibri Light"/>
      <family val="2"/>
      <scheme val="major"/>
    </font>
    <font>
      <sz val="11"/>
      <color theme="0"/>
      <name val="Calibri"/>
      <family val="2"/>
      <scheme val="minor"/>
    </font>
    <font>
      <sz val="11"/>
      <color rgb="FF3F3F76"/>
      <name val="Calibri"/>
      <family val="2"/>
      <scheme val="minor"/>
    </font>
    <font>
      <b/>
      <sz val="11"/>
      <color theme="1"/>
      <name val="Calibri"/>
      <family val="2"/>
    </font>
    <font>
      <b/>
      <sz val="12"/>
      <color theme="1"/>
      <name val="Calibri"/>
      <family val="2"/>
      <scheme val="minor"/>
    </font>
    <font>
      <b/>
      <sz val="14"/>
      <color theme="1"/>
      <name val="Calibri"/>
      <family val="2"/>
      <scheme val="minor"/>
    </font>
    <font>
      <b/>
      <sz val="14"/>
      <color rgb="FFFF0000"/>
      <name val="Calibri"/>
      <family val="2"/>
      <scheme val="minor"/>
    </font>
    <font>
      <b/>
      <sz val="14"/>
      <color rgb="FFFF0000"/>
      <name val="Calibri"/>
      <family val="2"/>
    </font>
    <font>
      <b/>
      <sz val="16"/>
      <color rgb="FFFF0000"/>
      <name val="Calibri"/>
      <family val="2"/>
      <scheme val="minor"/>
    </font>
    <font>
      <b/>
      <sz val="16"/>
      <color rgb="FFFF0000"/>
      <name val="Calibri"/>
      <family val="2"/>
    </font>
    <font>
      <sz val="11"/>
      <color rgb="FF000000"/>
      <name val="Calibri"/>
      <family val="2"/>
      <scheme val="minor"/>
    </font>
  </fonts>
  <fills count="11">
    <fill>
      <patternFill patternType="none"/>
    </fill>
    <fill>
      <patternFill patternType="gray125"/>
    </fill>
    <fill>
      <patternFill patternType="solid">
        <fgColor theme="7" tint="0.59999389629810485"/>
        <bgColor indexed="64"/>
      </patternFill>
    </fill>
    <fill>
      <patternFill patternType="solid">
        <fgColor rgb="FF217346"/>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339966"/>
        <bgColor indexed="64"/>
      </patternFill>
    </fill>
    <fill>
      <patternFill patternType="solid">
        <fgColor theme="9" tint="0.79998168889431442"/>
        <bgColor indexed="64"/>
      </patternFill>
    </fill>
    <fill>
      <patternFill patternType="solid">
        <fgColor rgb="FFFFCC99"/>
      </patternFill>
    </fill>
    <fill>
      <patternFill patternType="solid">
        <fgColor theme="4" tint="0.59999389629810485"/>
        <bgColor indexed="64"/>
      </patternFill>
    </fill>
    <fill>
      <patternFill patternType="solid">
        <fgColor theme="2" tint="-9.9978637043366805E-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rgb="FFB2B2B2"/>
      </left>
      <right style="thin">
        <color rgb="FFB2B2B2"/>
      </right>
      <top style="thin">
        <color rgb="FFB2B2B2"/>
      </top>
      <bottom style="thin">
        <color rgb="FFB2B2B2"/>
      </bottom>
      <diagonal/>
    </border>
    <border>
      <left style="thick">
        <color rgb="FFF4B183"/>
      </left>
      <right style="thick">
        <color rgb="FFF4B183"/>
      </right>
      <top style="thick">
        <color rgb="FFF4B183"/>
      </top>
      <bottom style="thick">
        <color rgb="FFF4B183"/>
      </bottom>
      <diagonal/>
    </border>
    <border>
      <left/>
      <right/>
      <top/>
      <bottom style="thin">
        <color indexed="64"/>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top/>
      <bottom style="thin">
        <color indexed="64"/>
      </bottom>
      <diagonal/>
    </border>
    <border>
      <left style="medium">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rgb="FF7F7F7F"/>
      </left>
      <right style="thin">
        <color rgb="FF7F7F7F"/>
      </right>
      <top/>
      <bottom style="medium">
        <color indexed="64"/>
      </bottom>
      <diagonal/>
    </border>
    <border>
      <left/>
      <right style="medium">
        <color indexed="64"/>
      </right>
      <top/>
      <bottom/>
      <diagonal/>
    </border>
    <border>
      <left style="thin">
        <color rgb="FF7F7F7F"/>
      </left>
      <right style="medium">
        <color indexed="64"/>
      </right>
      <top style="thin">
        <color rgb="FF7F7F7F"/>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medium">
        <color indexed="64"/>
      </bottom>
      <diagonal/>
    </border>
  </borders>
  <cellStyleXfs count="14">
    <xf numFmtId="0" fontId="0" fillId="0" borderId="0"/>
    <xf numFmtId="0" fontId="9" fillId="0" borderId="0"/>
    <xf numFmtId="0" fontId="10" fillId="3" borderId="0" applyNumberFormat="0" applyProtection="0">
      <alignment horizontal="left" wrapText="1" indent="4"/>
    </xf>
    <xf numFmtId="0" fontId="11" fillId="3" borderId="0" applyNumberFormat="0" applyProtection="0">
      <alignment horizontal="left" wrapText="1" indent="4"/>
    </xf>
    <xf numFmtId="0" fontId="12" fillId="3" borderId="0" applyNumberFormat="0" applyBorder="0" applyProtection="0">
      <alignment horizontal="left" indent="1"/>
    </xf>
    <xf numFmtId="0" fontId="3" fillId="0" borderId="0"/>
    <xf numFmtId="0" fontId="9" fillId="4" borderId="27"/>
    <xf numFmtId="0" fontId="9" fillId="5" borderId="0"/>
    <xf numFmtId="0" fontId="13" fillId="6" borderId="0" applyNumberFormat="0" applyBorder="0" applyProtection="0"/>
    <xf numFmtId="0" fontId="9" fillId="5" borderId="28"/>
    <xf numFmtId="0" fontId="9" fillId="0" borderId="0"/>
    <xf numFmtId="0" fontId="13" fillId="0" borderId="0"/>
    <xf numFmtId="0" fontId="9" fillId="0" borderId="0"/>
    <xf numFmtId="0" fontId="14" fillId="8" borderId="31" applyNumberFormat="0" applyAlignment="0" applyProtection="0"/>
  </cellStyleXfs>
  <cellXfs count="153">
    <xf numFmtId="0" fontId="0" fillId="0" borderId="0" xfId="0"/>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2" fontId="5" fillId="0" borderId="1" xfId="0" applyNumberFormat="1"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2" fontId="0" fillId="0" borderId="1" xfId="0" applyNumberFormat="1" applyBorder="1" applyAlignment="1">
      <alignment horizontal="center" vertical="center"/>
    </xf>
    <xf numFmtId="2" fontId="0" fillId="0" borderId="2" xfId="0" applyNumberFormat="1" applyBorder="1" applyAlignment="1">
      <alignment horizontal="center" vertical="center"/>
    </xf>
    <xf numFmtId="2" fontId="0" fillId="0" borderId="23" xfId="0" applyNumberFormat="1" applyBorder="1" applyAlignment="1">
      <alignment horizontal="center" vertical="center"/>
    </xf>
    <xf numFmtId="2" fontId="0" fillId="0" borderId="22" xfId="0" applyNumberFormat="1" applyBorder="1" applyAlignment="1">
      <alignment horizontal="center" vertical="center"/>
    </xf>
    <xf numFmtId="2" fontId="0" fillId="9" borderId="23" xfId="0" applyNumberFormat="1" applyFill="1" applyBorder="1" applyAlignment="1">
      <alignment horizontal="center" vertical="center"/>
    </xf>
    <xf numFmtId="2" fontId="0" fillId="2" borderId="23" xfId="0" applyNumberFormat="1" applyFill="1" applyBorder="1" applyAlignment="1">
      <alignment horizontal="center" vertical="center"/>
    </xf>
    <xf numFmtId="2" fontId="0" fillId="9" borderId="1" xfId="0" applyNumberFormat="1" applyFill="1" applyBorder="1" applyAlignment="1">
      <alignment horizontal="center" vertical="center"/>
    </xf>
    <xf numFmtId="2" fontId="0" fillId="2" borderId="1" xfId="0" applyNumberFormat="1" applyFill="1" applyBorder="1" applyAlignment="1">
      <alignment horizontal="center" vertical="center"/>
    </xf>
    <xf numFmtId="2" fontId="0" fillId="0" borderId="25" xfId="0" applyNumberFormat="1" applyBorder="1" applyAlignment="1">
      <alignment horizontal="center" vertical="center"/>
    </xf>
    <xf numFmtId="2" fontId="0" fillId="7" borderId="1" xfId="0" applyNumberFormat="1" applyFill="1" applyBorder="1" applyAlignment="1">
      <alignment horizontal="center" vertical="center"/>
    </xf>
    <xf numFmtId="2" fontId="0" fillId="10" borderId="1" xfId="0" applyNumberFormat="1" applyFill="1" applyBorder="1" applyAlignment="1">
      <alignment horizontal="center" vertical="center"/>
    </xf>
    <xf numFmtId="164" fontId="0" fillId="0" borderId="7" xfId="0" applyNumberFormat="1" applyBorder="1" applyAlignment="1">
      <alignment horizontal="center" vertical="center"/>
    </xf>
    <xf numFmtId="2" fontId="0" fillId="0" borderId="8" xfId="0" applyNumberFormat="1" applyBorder="1" applyAlignment="1">
      <alignment horizontal="center" vertical="center"/>
    </xf>
    <xf numFmtId="164" fontId="0" fillId="0" borderId="9" xfId="0" applyNumberFormat="1" applyBorder="1" applyAlignment="1">
      <alignment horizontal="center" vertical="center"/>
    </xf>
    <xf numFmtId="2" fontId="0" fillId="0" borderId="10" xfId="0" applyNumberFormat="1" applyBorder="1" applyAlignment="1">
      <alignment horizontal="center" vertical="center"/>
    </xf>
    <xf numFmtId="1" fontId="0" fillId="0" borderId="23" xfId="0" applyNumberFormat="1" applyFill="1" applyBorder="1" applyAlignment="1">
      <alignment horizontal="center" vertical="center"/>
    </xf>
    <xf numFmtId="2" fontId="0" fillId="0" borderId="23" xfId="0" applyNumberFormat="1" applyFill="1" applyBorder="1" applyAlignment="1">
      <alignment horizontal="center" vertical="center"/>
    </xf>
    <xf numFmtId="2" fontId="0" fillId="0" borderId="24" xfId="0" applyNumberFormat="1" applyFill="1" applyBorder="1" applyAlignment="1">
      <alignment horizontal="center" vertical="center"/>
    </xf>
    <xf numFmtId="0" fontId="0" fillId="0" borderId="1" xfId="0" applyBorder="1" applyAlignment="1">
      <alignment horizontal="center" vertical="center"/>
    </xf>
    <xf numFmtId="2" fontId="0" fillId="7" borderId="23" xfId="0" applyNumberFormat="1" applyFill="1" applyBorder="1" applyAlignment="1">
      <alignment horizontal="center" vertical="center"/>
    </xf>
    <xf numFmtId="2" fontId="0" fillId="10" borderId="23" xfId="0" applyNumberFormat="1" applyFill="1" applyBorder="1" applyAlignment="1">
      <alignment horizontal="center" vertical="center"/>
    </xf>
    <xf numFmtId="2" fontId="0" fillId="0" borderId="0" xfId="0" applyNumberFormat="1" applyFill="1" applyBorder="1" applyAlignment="1">
      <alignment horizontal="center" vertical="center"/>
    </xf>
    <xf numFmtId="2" fontId="0" fillId="0" borderId="0" xfId="0" applyNumberFormat="1"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0" fontId="7" fillId="0" borderId="0" xfId="0" applyFont="1"/>
    <xf numFmtId="0" fontId="20" fillId="0" borderId="0" xfId="0" applyFont="1"/>
    <xf numFmtId="0" fontId="22" fillId="0" borderId="0" xfId="0" applyFont="1"/>
    <xf numFmtId="2" fontId="0" fillId="0" borderId="52" xfId="0" applyNumberFormat="1" applyBorder="1" applyAlignment="1">
      <alignment horizontal="center" vertical="center"/>
    </xf>
    <xf numFmtId="2" fontId="5" fillId="0" borderId="2" xfId="0" applyNumberFormat="1" applyFont="1" applyBorder="1" applyAlignment="1">
      <alignment horizontal="center" vertical="center"/>
    </xf>
    <xf numFmtId="2" fontId="5" fillId="0" borderId="2" xfId="0" applyNumberFormat="1" applyFont="1" applyFill="1" applyBorder="1" applyAlignment="1">
      <alignment horizontal="center" vertical="center"/>
    </xf>
    <xf numFmtId="2" fontId="5" fillId="0" borderId="12" xfId="0" applyNumberFormat="1" applyFont="1" applyBorder="1" applyAlignment="1">
      <alignment horizontal="center" vertical="center"/>
    </xf>
    <xf numFmtId="2" fontId="5" fillId="0" borderId="13" xfId="0" applyNumberFormat="1" applyFont="1" applyBorder="1" applyAlignment="1">
      <alignment horizontal="center" vertical="center"/>
    </xf>
    <xf numFmtId="2" fontId="5" fillId="0" borderId="15" xfId="0" applyNumberFormat="1" applyFont="1" applyBorder="1" applyAlignment="1">
      <alignment horizontal="center" vertical="center"/>
    </xf>
    <xf numFmtId="2" fontId="14" fillId="8" borderId="22" xfId="13" applyNumberFormat="1" applyBorder="1" applyAlignment="1">
      <alignment horizontal="center" vertical="center"/>
    </xf>
    <xf numFmtId="2" fontId="0" fillId="0" borderId="24" xfId="0" applyNumberFormat="1" applyBorder="1" applyAlignment="1">
      <alignment horizontal="center" vertical="center"/>
    </xf>
    <xf numFmtId="2" fontId="0" fillId="0" borderId="0" xfId="0" applyNumberFormat="1" applyAlignment="1">
      <alignment vertical="center"/>
    </xf>
    <xf numFmtId="2" fontId="5" fillId="0" borderId="8" xfId="0" applyNumberFormat="1" applyFont="1" applyBorder="1" applyAlignment="1">
      <alignment horizontal="center" vertical="center"/>
    </xf>
    <xf numFmtId="2" fontId="3" fillId="0" borderId="7" xfId="0" applyNumberFormat="1" applyFont="1" applyBorder="1" applyAlignment="1">
      <alignment horizontal="center" vertical="center"/>
    </xf>
    <xf numFmtId="2" fontId="3" fillId="0" borderId="1" xfId="0" applyNumberFormat="1" applyFont="1" applyBorder="1" applyAlignment="1">
      <alignment horizontal="center" vertical="center"/>
    </xf>
    <xf numFmtId="2" fontId="3" fillId="0" borderId="8" xfId="0" applyNumberFormat="1" applyFont="1" applyBorder="1" applyAlignment="1">
      <alignment horizontal="center" vertical="center"/>
    </xf>
    <xf numFmtId="2" fontId="0" fillId="0" borderId="14" xfId="0" applyNumberFormat="1" applyBorder="1" applyAlignment="1">
      <alignment horizontal="center" vertical="center"/>
    </xf>
    <xf numFmtId="2" fontId="0" fillId="0" borderId="13" xfId="0" applyNumberFormat="1" applyBorder="1" applyAlignment="1">
      <alignment horizontal="center" vertical="center"/>
    </xf>
    <xf numFmtId="2" fontId="0" fillId="0" borderId="15" xfId="0" applyNumberFormat="1" applyBorder="1" applyAlignment="1">
      <alignment horizontal="center" vertical="center"/>
    </xf>
    <xf numFmtId="2" fontId="0" fillId="0" borderId="40" xfId="0" applyNumberFormat="1" applyBorder="1" applyAlignment="1">
      <alignment horizontal="center" vertical="center"/>
    </xf>
    <xf numFmtId="2" fontId="14" fillId="8" borderId="23" xfId="13" applyNumberFormat="1" applyBorder="1" applyAlignment="1">
      <alignment horizontal="center" vertical="center"/>
    </xf>
    <xf numFmtId="2" fontId="14" fillId="8" borderId="24" xfId="13" applyNumberFormat="1" applyBorder="1" applyAlignment="1">
      <alignment horizontal="center" vertical="center"/>
    </xf>
    <xf numFmtId="2" fontId="7" fillId="0" borderId="0" xfId="0" applyNumberFormat="1" applyFont="1" applyBorder="1" applyAlignment="1">
      <alignment horizontal="center" vertical="center"/>
    </xf>
    <xf numFmtId="2" fontId="0" fillId="0" borderId="11" xfId="0" applyNumberFormat="1" applyFill="1" applyBorder="1" applyAlignment="1">
      <alignment horizontal="center" vertical="center"/>
    </xf>
    <xf numFmtId="2" fontId="0" fillId="0" borderId="2" xfId="0" applyNumberFormat="1" applyFill="1" applyBorder="1" applyAlignment="1">
      <alignment horizontal="center" vertical="center"/>
    </xf>
    <xf numFmtId="2" fontId="0" fillId="0" borderId="47" xfId="0" applyNumberFormat="1" applyBorder="1" applyAlignment="1">
      <alignment horizontal="center" vertical="center"/>
    </xf>
    <xf numFmtId="2" fontId="3" fillId="0" borderId="0" xfId="0" applyNumberFormat="1" applyFont="1" applyBorder="1" applyAlignment="1">
      <alignment horizontal="center" vertical="center"/>
    </xf>
    <xf numFmtId="2" fontId="0" fillId="0" borderId="14" xfId="0" applyNumberFormat="1" applyFill="1" applyBorder="1" applyAlignment="1">
      <alignment horizontal="center" vertical="center"/>
    </xf>
    <xf numFmtId="2" fontId="0" fillId="0" borderId="13" xfId="0" applyNumberFormat="1" applyFill="1" applyBorder="1" applyAlignment="1">
      <alignment horizontal="center" vertical="center"/>
    </xf>
    <xf numFmtId="2" fontId="0" fillId="0" borderId="15" xfId="0" applyNumberFormat="1" applyFill="1" applyBorder="1" applyAlignment="1">
      <alignment horizontal="center" vertical="center"/>
    </xf>
    <xf numFmtId="2" fontId="14" fillId="8" borderId="37" xfId="13" applyNumberFormat="1" applyBorder="1" applyAlignment="1">
      <alignment horizontal="center" vertical="center"/>
    </xf>
    <xf numFmtId="2" fontId="14" fillId="8" borderId="38" xfId="13" applyNumberFormat="1" applyBorder="1" applyAlignment="1">
      <alignment horizontal="center" vertical="center"/>
    </xf>
    <xf numFmtId="2" fontId="14" fillId="8" borderId="48" xfId="13" applyNumberFormat="1" applyBorder="1" applyAlignment="1">
      <alignment horizontal="center" vertical="center"/>
    </xf>
    <xf numFmtId="2" fontId="3" fillId="0" borderId="4" xfId="0" applyNumberFormat="1" applyFont="1" applyFill="1" applyBorder="1" applyAlignment="1">
      <alignment horizontal="center" vertical="center"/>
    </xf>
    <xf numFmtId="2" fontId="0" fillId="0" borderId="5" xfId="0" applyNumberFormat="1" applyFill="1" applyBorder="1" applyAlignment="1">
      <alignment horizontal="center" vertical="center"/>
    </xf>
    <xf numFmtId="2" fontId="0" fillId="0" borderId="6" xfId="0" applyNumberFormat="1" applyFill="1" applyBorder="1" applyAlignment="1">
      <alignment horizontal="center" vertical="center"/>
    </xf>
    <xf numFmtId="2" fontId="14" fillId="8" borderId="46" xfId="13" applyNumberFormat="1" applyBorder="1" applyAlignment="1">
      <alignment horizontal="center" vertical="center"/>
    </xf>
    <xf numFmtId="2" fontId="3" fillId="0" borderId="5" xfId="0" applyNumberFormat="1" applyFont="1" applyFill="1" applyBorder="1" applyAlignment="1">
      <alignment horizontal="center" vertical="center"/>
    </xf>
    <xf numFmtId="2" fontId="3" fillId="0" borderId="6" xfId="0" applyNumberFormat="1" applyFont="1" applyFill="1" applyBorder="1" applyAlignment="1">
      <alignment horizontal="center" vertical="center"/>
    </xf>
    <xf numFmtId="2" fontId="5" fillId="0" borderId="15" xfId="0" applyNumberFormat="1" applyFont="1" applyFill="1" applyBorder="1" applyAlignment="1">
      <alignment horizontal="center" vertical="center"/>
    </xf>
    <xf numFmtId="2" fontId="0" fillId="0" borderId="7" xfId="0" applyNumberFormat="1" applyBorder="1" applyAlignment="1">
      <alignment horizontal="center" vertical="center"/>
    </xf>
    <xf numFmtId="2" fontId="0" fillId="0" borderId="9" xfId="0" applyNumberFormat="1" applyBorder="1" applyAlignment="1">
      <alignment horizontal="center" vertical="center"/>
    </xf>
    <xf numFmtId="2" fontId="5" fillId="0" borderId="7" xfId="0" applyNumberFormat="1" applyFont="1" applyBorder="1" applyAlignment="1">
      <alignment horizontal="center" vertical="center"/>
    </xf>
    <xf numFmtId="2" fontId="5" fillId="0" borderId="17" xfId="0" applyNumberFormat="1" applyFont="1" applyBorder="1" applyAlignment="1">
      <alignment horizontal="center" vertical="center"/>
    </xf>
    <xf numFmtId="2" fontId="5" fillId="0" borderId="14" xfId="0" applyNumberFormat="1" applyFont="1" applyBorder="1" applyAlignment="1">
      <alignment horizontal="center" vertical="center"/>
    </xf>
    <xf numFmtId="2" fontId="5" fillId="0" borderId="18" xfId="0" applyNumberFormat="1" applyFont="1" applyBorder="1" applyAlignment="1">
      <alignment horizontal="center" vertical="center"/>
    </xf>
    <xf numFmtId="2" fontId="16" fillId="0" borderId="0" xfId="0" applyNumberFormat="1" applyFont="1" applyAlignment="1">
      <alignment vertical="center"/>
    </xf>
    <xf numFmtId="2" fontId="7" fillId="0" borderId="0" xfId="0" applyNumberFormat="1" applyFont="1" applyAlignment="1">
      <alignment horizontal="center" vertical="center"/>
    </xf>
    <xf numFmtId="2" fontId="3" fillId="0" borderId="14" xfId="0" applyNumberFormat="1" applyFont="1" applyBorder="1" applyAlignment="1">
      <alignment horizontal="center" vertical="center"/>
    </xf>
    <xf numFmtId="2" fontId="3" fillId="0" borderId="15" xfId="0" applyNumberFormat="1" applyFont="1" applyBorder="1" applyAlignment="1">
      <alignment horizontal="center" vertical="center"/>
    </xf>
    <xf numFmtId="2" fontId="5" fillId="0" borderId="11" xfId="0" applyNumberFormat="1" applyFont="1" applyBorder="1" applyAlignment="1">
      <alignment horizontal="center" vertical="center"/>
    </xf>
    <xf numFmtId="2" fontId="0" fillId="0" borderId="12" xfId="0" applyNumberFormat="1" applyBorder="1" applyAlignment="1">
      <alignment horizontal="center" vertical="center"/>
    </xf>
    <xf numFmtId="1" fontId="0" fillId="0" borderId="24" xfId="0" applyNumberFormat="1" applyFill="1" applyBorder="1" applyAlignment="1">
      <alignment horizontal="center" vertical="center"/>
    </xf>
    <xf numFmtId="2" fontId="0" fillId="0" borderId="0" xfId="0" applyNumberFormat="1" applyBorder="1" applyAlignment="1">
      <alignment horizontal="center" vertical="center"/>
    </xf>
    <xf numFmtId="2" fontId="0" fillId="0" borderId="0" xfId="0" applyNumberFormat="1" applyAlignment="1">
      <alignment horizontal="center" vertical="center"/>
    </xf>
    <xf numFmtId="2" fontId="0" fillId="0" borderId="1" xfId="0" applyNumberFormat="1" applyBorder="1" applyAlignment="1">
      <alignment horizontal="center" vertical="center"/>
    </xf>
    <xf numFmtId="2" fontId="0" fillId="0" borderId="0" xfId="0" applyNumberFormat="1" applyBorder="1" applyAlignment="1">
      <alignment horizontal="center" vertical="center"/>
    </xf>
    <xf numFmtId="2" fontId="0" fillId="0" borderId="47" xfId="0" applyNumberFormat="1" applyBorder="1" applyAlignment="1">
      <alignment horizontal="center" vertical="center"/>
    </xf>
    <xf numFmtId="2" fontId="0" fillId="0" borderId="25" xfId="0" applyNumberFormat="1" applyBorder="1" applyAlignment="1">
      <alignment horizontal="center" vertical="center"/>
    </xf>
    <xf numFmtId="2" fontId="0" fillId="0" borderId="0" xfId="0" applyNumberFormat="1" applyAlignment="1">
      <alignment horizontal="center" vertical="center"/>
    </xf>
    <xf numFmtId="2" fontId="0" fillId="0" borderId="1" xfId="0" applyNumberFormat="1" applyBorder="1" applyAlignment="1">
      <alignment horizontal="center" vertical="center"/>
    </xf>
    <xf numFmtId="2" fontId="0" fillId="0" borderId="0" xfId="0" applyNumberFormat="1" applyBorder="1" applyAlignment="1">
      <alignment horizontal="center" vertical="center"/>
    </xf>
    <xf numFmtId="2" fontId="0" fillId="0" borderId="47" xfId="0" applyNumberFormat="1" applyBorder="1" applyAlignment="1">
      <alignment horizontal="center" vertical="center"/>
    </xf>
    <xf numFmtId="2" fontId="0" fillId="0" borderId="25" xfId="0" applyNumberFormat="1" applyBorder="1" applyAlignment="1">
      <alignment horizontal="center" vertical="center"/>
    </xf>
    <xf numFmtId="2" fontId="0" fillId="0" borderId="0" xfId="0" applyNumberFormat="1" applyAlignment="1">
      <alignment horizontal="center" vertical="center"/>
    </xf>
    <xf numFmtId="165" fontId="0" fillId="2" borderId="1" xfId="0" applyNumberFormat="1" applyFill="1" applyBorder="1" applyAlignment="1">
      <alignment horizontal="center" vertical="center"/>
    </xf>
    <xf numFmtId="165" fontId="0" fillId="0" borderId="0" xfId="0" applyNumberFormat="1" applyAlignment="1">
      <alignment horizontal="center" vertical="center"/>
    </xf>
    <xf numFmtId="165" fontId="0" fillId="0" borderId="2" xfId="0" applyNumberFormat="1" applyBorder="1" applyAlignment="1">
      <alignment horizontal="center" vertical="center"/>
    </xf>
    <xf numFmtId="165" fontId="0" fillId="0" borderId="1" xfId="0" applyNumberFormat="1" applyBorder="1" applyAlignment="1">
      <alignment horizontal="center" vertical="center"/>
    </xf>
    <xf numFmtId="165" fontId="0" fillId="9" borderId="1" xfId="0" applyNumberFormat="1" applyFill="1" applyBorder="1" applyAlignment="1">
      <alignment horizontal="center" vertical="center"/>
    </xf>
    <xf numFmtId="0" fontId="0" fillId="0" borderId="1" xfId="0"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center" vertical="center"/>
    </xf>
    <xf numFmtId="0" fontId="7" fillId="0" borderId="1" xfId="0" applyFont="1" applyBorder="1" applyAlignment="1">
      <alignment horizontal="center" vertical="center"/>
    </xf>
    <xf numFmtId="2" fontId="0" fillId="0" borderId="0" xfId="0" applyNumberFormat="1" applyAlignment="1">
      <alignment horizontal="center" vertical="center"/>
    </xf>
    <xf numFmtId="2" fontId="5" fillId="0" borderId="11" xfId="0" applyNumberFormat="1" applyFont="1" applyFill="1" applyBorder="1" applyAlignment="1">
      <alignment horizontal="center" vertical="center"/>
    </xf>
    <xf numFmtId="2" fontId="5" fillId="0" borderId="14" xfId="0" applyNumberFormat="1" applyFont="1" applyFill="1" applyBorder="1" applyAlignment="1">
      <alignment horizontal="center" vertical="center"/>
    </xf>
    <xf numFmtId="2" fontId="5" fillId="0" borderId="2"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7" fillId="0" borderId="4" xfId="0" applyNumberFormat="1" applyFont="1" applyBorder="1" applyAlignment="1">
      <alignment horizontal="center" vertical="center"/>
    </xf>
    <xf numFmtId="2" fontId="7" fillId="0" borderId="5" xfId="0" applyNumberFormat="1" applyFont="1" applyBorder="1" applyAlignment="1">
      <alignment horizontal="center" vertical="center"/>
    </xf>
    <xf numFmtId="2" fontId="7" fillId="0" borderId="39" xfId="0" applyNumberFormat="1" applyFont="1" applyBorder="1" applyAlignment="1">
      <alignment horizontal="center" vertical="center"/>
    </xf>
    <xf numFmtId="2" fontId="7" fillId="0" borderId="6" xfId="0" applyNumberFormat="1" applyFont="1" applyBorder="1" applyAlignment="1">
      <alignment horizontal="center" vertical="center"/>
    </xf>
    <xf numFmtId="2" fontId="7" fillId="0" borderId="41" xfId="0" applyNumberFormat="1" applyFont="1" applyBorder="1" applyAlignment="1">
      <alignment horizontal="center" vertical="center"/>
    </xf>
    <xf numFmtId="2" fontId="7" fillId="0" borderId="42" xfId="0" applyNumberFormat="1" applyFont="1" applyBorder="1" applyAlignment="1">
      <alignment horizontal="center" vertical="center"/>
    </xf>
    <xf numFmtId="2" fontId="7" fillId="0" borderId="43" xfId="0" applyNumberFormat="1" applyFont="1" applyBorder="1" applyAlignment="1">
      <alignment horizontal="center" vertical="center"/>
    </xf>
    <xf numFmtId="2" fontId="16" fillId="0" borderId="26" xfId="0" applyNumberFormat="1" applyFont="1" applyBorder="1" applyAlignment="1">
      <alignment horizontal="center" vertical="center" wrapText="1"/>
    </xf>
    <xf numFmtId="2" fontId="16" fillId="0" borderId="35" xfId="0" applyNumberFormat="1" applyFont="1" applyBorder="1" applyAlignment="1">
      <alignment horizontal="center" vertical="center" wrapText="1"/>
    </xf>
    <xf numFmtId="2" fontId="16" fillId="0" borderId="33" xfId="0" applyNumberFormat="1" applyFont="1" applyBorder="1" applyAlignment="1">
      <alignment horizontal="center" vertical="center" wrapText="1"/>
    </xf>
    <xf numFmtId="2" fontId="16" fillId="0" borderId="16" xfId="0" applyNumberFormat="1" applyFont="1" applyBorder="1" applyAlignment="1">
      <alignment horizontal="center" vertical="center" wrapText="1"/>
    </xf>
    <xf numFmtId="2" fontId="17" fillId="0" borderId="26" xfId="0" applyNumberFormat="1" applyFont="1" applyBorder="1" applyAlignment="1">
      <alignment horizontal="center" vertical="center"/>
    </xf>
    <xf numFmtId="2" fontId="17" fillId="0" borderId="34" xfId="0" applyNumberFormat="1" applyFont="1" applyBorder="1" applyAlignment="1">
      <alignment horizontal="center" vertical="center"/>
    </xf>
    <xf numFmtId="2" fontId="17" fillId="0" borderId="35" xfId="0" applyNumberFormat="1" applyFont="1" applyBorder="1" applyAlignment="1">
      <alignment horizontal="center" vertical="center"/>
    </xf>
    <xf numFmtId="2" fontId="17" fillId="0" borderId="30" xfId="0" applyNumberFormat="1" applyFont="1" applyBorder="1" applyAlignment="1">
      <alignment horizontal="center" vertical="center"/>
    </xf>
    <xf numFmtId="2" fontId="17" fillId="0" borderId="36" xfId="0" applyNumberFormat="1" applyFont="1" applyBorder="1" applyAlignment="1">
      <alignment horizontal="center" vertical="center"/>
    </xf>
    <xf numFmtId="2" fontId="17" fillId="0" borderId="25" xfId="0" applyNumberFormat="1" applyFont="1" applyBorder="1" applyAlignment="1">
      <alignment horizontal="center" vertical="center"/>
    </xf>
    <xf numFmtId="2" fontId="7" fillId="0" borderId="19" xfId="0" applyNumberFormat="1" applyFont="1" applyBorder="1" applyAlignment="1">
      <alignment horizontal="center" vertical="center"/>
    </xf>
    <xf numFmtId="2" fontId="7" fillId="0" borderId="20" xfId="0" applyNumberFormat="1" applyFont="1" applyBorder="1" applyAlignment="1">
      <alignment horizontal="center" vertical="center"/>
    </xf>
    <xf numFmtId="2" fontId="7" fillId="0" borderId="21" xfId="0" applyNumberFormat="1" applyFont="1" applyBorder="1" applyAlignment="1">
      <alignment horizontal="center" vertical="center"/>
    </xf>
    <xf numFmtId="2" fontId="5" fillId="0" borderId="7" xfId="0" applyNumberFormat="1" applyFont="1" applyFill="1" applyBorder="1" applyAlignment="1">
      <alignment horizontal="center" vertical="center"/>
    </xf>
    <xf numFmtId="2" fontId="7" fillId="0" borderId="1" xfId="0" applyNumberFormat="1" applyFont="1" applyBorder="1" applyAlignment="1">
      <alignment horizontal="center" vertical="center"/>
    </xf>
    <xf numFmtId="2" fontId="0" fillId="0" borderId="44" xfId="0" applyNumberFormat="1" applyFill="1" applyBorder="1" applyAlignment="1">
      <alignment horizontal="center" vertical="center" wrapText="1"/>
    </xf>
    <xf numFmtId="2" fontId="0" fillId="0" borderId="45" xfId="0" applyNumberFormat="1" applyFill="1" applyBorder="1" applyAlignment="1">
      <alignment horizontal="center" vertical="center" wrapText="1"/>
    </xf>
    <xf numFmtId="2" fontId="7" fillId="0" borderId="19" xfId="0" applyNumberFormat="1" applyFont="1" applyFill="1" applyBorder="1" applyAlignment="1">
      <alignment horizontal="center" vertical="center"/>
    </xf>
    <xf numFmtId="2" fontId="7" fillId="0" borderId="20" xfId="0" applyNumberFormat="1" applyFont="1" applyFill="1" applyBorder="1" applyAlignment="1">
      <alignment horizontal="center" vertical="center"/>
    </xf>
    <xf numFmtId="2" fontId="7" fillId="0" borderId="21" xfId="0" applyNumberFormat="1" applyFont="1" applyFill="1" applyBorder="1" applyAlignment="1">
      <alignment horizontal="center" vertical="center"/>
    </xf>
    <xf numFmtId="2" fontId="0" fillId="0" borderId="49" xfId="0" applyNumberFormat="1" applyBorder="1" applyAlignment="1">
      <alignment horizontal="center" vertical="center"/>
    </xf>
    <xf numFmtId="2" fontId="0" fillId="0" borderId="50" xfId="0" applyNumberFormat="1" applyBorder="1" applyAlignment="1">
      <alignment horizontal="center" vertical="center"/>
    </xf>
    <xf numFmtId="2" fontId="0" fillId="0" borderId="51" xfId="0" applyNumberFormat="1" applyBorder="1" applyAlignment="1">
      <alignment horizontal="center" vertical="center"/>
    </xf>
    <xf numFmtId="2" fontId="0" fillId="0" borderId="0" xfId="0" applyNumberFormat="1" applyBorder="1" applyAlignment="1">
      <alignment horizontal="center" vertical="center"/>
    </xf>
    <xf numFmtId="2" fontId="0" fillId="0" borderId="47" xfId="0" applyNumberFormat="1" applyBorder="1" applyAlignment="1">
      <alignment horizontal="center" vertical="center"/>
    </xf>
    <xf numFmtId="2" fontId="0" fillId="0" borderId="36" xfId="0" applyNumberFormat="1" applyBorder="1" applyAlignment="1">
      <alignment horizontal="center" vertical="center"/>
    </xf>
    <xf numFmtId="2" fontId="0" fillId="0" borderId="25" xfId="0" applyNumberFormat="1" applyBorder="1" applyAlignment="1">
      <alignment horizontal="center" vertical="center"/>
    </xf>
    <xf numFmtId="2" fontId="0" fillId="0" borderId="26" xfId="0" applyNumberFormat="1" applyBorder="1" applyAlignment="1">
      <alignment horizontal="center" vertical="center"/>
    </xf>
    <xf numFmtId="2" fontId="0" fillId="0" borderId="1" xfId="0" applyNumberFormat="1" applyBorder="1" applyAlignment="1">
      <alignment horizontal="center" vertical="center"/>
    </xf>
    <xf numFmtId="2" fontId="7" fillId="0" borderId="26" xfId="0" applyNumberFormat="1" applyFont="1" applyBorder="1" applyAlignment="1">
      <alignment horizontal="center" vertical="center" wrapText="1"/>
    </xf>
    <xf numFmtId="2" fontId="7" fillId="0" borderId="35" xfId="0" applyNumberFormat="1" applyFont="1" applyBorder="1" applyAlignment="1">
      <alignment horizontal="center" vertical="center" wrapText="1"/>
    </xf>
    <xf numFmtId="2" fontId="7" fillId="0" borderId="33" xfId="0" applyNumberFormat="1" applyFont="1" applyBorder="1" applyAlignment="1">
      <alignment horizontal="center" vertical="center" wrapText="1"/>
    </xf>
    <xf numFmtId="2" fontId="7" fillId="0" borderId="16" xfId="0" applyNumberFormat="1" applyFont="1" applyBorder="1" applyAlignment="1">
      <alignment horizontal="center" vertical="center" wrapText="1"/>
    </xf>
    <xf numFmtId="168" fontId="0" fillId="0" borderId="9" xfId="0" applyNumberFormat="1" applyBorder="1" applyAlignment="1">
      <alignment horizontal="center" vertical="center"/>
    </xf>
  </cellXfs>
  <cellStyles count="14">
    <cellStyle name="GrayCell 2 2" xfId="7" xr:uid="{5D2FE100-F89A-4430-8B94-CBE7CC8A26C0}"/>
    <cellStyle name="Heading 1 2" xfId="2" xr:uid="{B5A0F750-FE24-4B4F-BF3C-A4DB0950FAE5}"/>
    <cellStyle name="Heading 2 2" xfId="3" xr:uid="{9D6DA906-6F38-456C-8C5B-2E977E3EE2B8}"/>
    <cellStyle name="Heading 3 2" xfId="8" xr:uid="{E5716234-A8D0-4E9E-90A1-62ED250B9600}"/>
    <cellStyle name="Input" xfId="13" builtinId="20"/>
    <cellStyle name="Normal" xfId="0" builtinId="0"/>
    <cellStyle name="Normal 2" xfId="1" xr:uid="{61BB0C72-B63F-4DC3-B163-2F0C65FD700A}"/>
    <cellStyle name="Normal 2 2" xfId="12" xr:uid="{ECBCF502-BE90-46E8-ABF0-CEBEF9D33872}"/>
    <cellStyle name="Normal 3" xfId="5" xr:uid="{BE957375-417A-48F7-A503-B60CD7B00A01}"/>
    <cellStyle name="Normal 3 2" xfId="10" xr:uid="{D95E5960-6E47-41D8-BC80-587D338BE5CB}"/>
    <cellStyle name="OrangeBorder 2" xfId="9" xr:uid="{B0AF26EF-3A08-4069-92D6-77CF15FF11BF}"/>
    <cellStyle name="Title 2" xfId="4" xr:uid="{E5EA4236-AD7B-404A-93D0-A5BB89A3482F}"/>
    <cellStyle name="YellowCell 2 2" xfId="6" xr:uid="{96D56DDB-4B80-416C-B49D-A4C7DD4F47F4}"/>
    <cellStyle name="z A Column text" xfId="11" xr:uid="{E82C2CBC-EB35-4BE0-8E99-2FFEF839F14F}"/>
  </cellStyles>
  <dxfs count="2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334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97C4-47C3-9D3E-D6FEF25A33D1}"/>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2-97C4-47C3-9D3E-D6FEF25A33D1}"/>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97C4-47C3-9D3E-D6FEF25A33D1}"/>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97C4-47C3-9D3E-D6FEF25A33D1}"/>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97C4-47C3-9D3E-D6FEF25A33D1}"/>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97C4-47C3-9D3E-D6FEF25A33D1}"/>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97C4-47C3-9D3E-D6FEF25A33D1}"/>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97C4-47C3-9D3E-D6FEF25A33D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7-97C4-47C3-9D3E-D6FEF25A33D1}"/>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97C4-47C3-9D3E-D6FEF25A33D1}"/>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97C4-47C3-9D3E-D6FEF25A33D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97C4-47C3-9D3E-D6FEF25A33D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97C4-47C3-9D3E-D6FEF25A33D1}"/>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97C4-47C3-9D3E-D6FEF25A33D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97C4-47C3-9D3E-D6FEF25A33D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97C4-47C3-9D3E-D6FEF25A33D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97C4-47C3-9D3E-D6FEF25A33D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97C4-47C3-9D3E-D6FEF25A33D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97C4-47C3-9D3E-D6FEF25A33D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97C4-47C3-9D3E-D6FEF25A33D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97C4-47C3-9D3E-D6FEF25A33D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9-97C4-47C3-9D3E-D6FEF25A33D1}"/>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97C4-47C3-9D3E-D6FEF25A33D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extLst xmlns:c15="http://schemas.microsoft.com/office/drawing/2012/chart"/>
            </c:numRef>
          </c:xVal>
          <c:yVal>
            <c:numRef>
              <c:f>'WR03-01'!$AI$15:$AI$48</c:f>
              <c:numCache>
                <c:formatCode>0.00</c:formatCode>
                <c:ptCount val="34"/>
                <c:pt idx="0">
                  <c:v>-0.1</c:v>
                </c:pt>
                <c:pt idx="1">
                  <c:v>0</c:v>
                </c:pt>
                <c:pt idx="2">
                  <c:v>6.8832625356357102</c:v>
                </c:pt>
                <c:pt idx="3">
                  <c:v>13.20247350510137</c:v>
                </c:pt>
                <c:pt idx="4">
                  <c:v>18.991365259319799</c:v>
                </c:pt>
                <c:pt idx="5">
                  <c:v>24.281032962732461</c:v>
                </c:pt>
                <c:pt idx="6">
                  <c:v>29.10018737097348</c:v>
                </c:pt>
                <c:pt idx="7">
                  <c:v>33.475379080559023</c:v>
                </c:pt>
                <c:pt idx="8">
                  <c:v>37.431197937456709</c:v>
                </c:pt>
                <c:pt idx="9">
                  <c:v>40.990450756724485</c:v>
                </c:pt>
                <c:pt idx="10">
                  <c:v>44.174320056411212</c:v>
                </c:pt>
                <c:pt idx="11">
                  <c:v>47.002506130606029</c:v>
                </c:pt>
                <c:pt idx="12">
                  <c:v>49.493354466753793</c:v>
                </c:pt>
                <c:pt idx="13">
                  <c:v>51.663970241228206</c:v>
                </c:pt>
                <c:pt idx="14">
                  <c:v>53.530321396586245</c:v>
                </c:pt>
                <c:pt idx="15">
                  <c:v>55.107331607286199</c:v>
                </c:pt>
                <c:pt idx="16">
                  <c:v>56.408964272479665</c:v>
                </c:pt>
                <c:pt idx="17">
                  <c:v>57.448298530278578</c:v>
                </c:pt>
                <c:pt idx="18">
                  <c:v>58.237598163915827</c:v>
                </c:pt>
                <c:pt idx="19">
                  <c:v>58.788374163359563</c:v>
                </c:pt>
                <c:pt idx="20">
                  <c:v>59.111441613618211</c:v>
                </c:pt>
                <c:pt idx="21">
                  <c:v>59.216971501021312</c:v>
                </c:pt>
                <c:pt idx="22">
                  <c:v>50.334425775868112</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D-97C4-47C3-9D3E-D6FEF25A33D1}"/>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F-97C4-47C3-9D3E-D6FEF25A33D1}"/>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2E-97C4-47C3-9D3E-D6FEF25A33D1}"/>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0-97C4-47C3-9D3E-D6FEF25A33D1}"/>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1-97C4-47C3-9D3E-D6FEF25A33D1}"/>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2-97C4-47C3-9D3E-D6FEF25A33D1}"/>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3-97C4-47C3-9D3E-D6FEF25A33D1}"/>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4-97C4-47C3-9D3E-D6FEF25A33D1}"/>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5-97C4-47C3-9D3E-D6FEF25A33D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97C4-47C3-9D3E-D6FEF25A33D1}"/>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7-97C4-47C3-9D3E-D6FEF25A33D1}"/>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97C4-47C3-9D3E-D6FEF25A33D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97C4-47C3-9D3E-D6FEF25A33D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97C4-47C3-9D3E-D6FEF25A33D1}"/>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97C4-47C3-9D3E-D6FEF25A33D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97C4-47C3-9D3E-D6FEF25A33D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97C4-47C3-9D3E-D6FEF25A33D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97C4-47C3-9D3E-D6FEF25A33D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97C4-47C3-9D3E-D6FEF25A33D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97C4-47C3-9D3E-D6FEF25A33D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97C4-47C3-9D3E-D6FEF25A33D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97C4-47C3-9D3E-D6FEF25A33D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97C4-47C3-9D3E-D6FEF25A33D1}"/>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97C4-47C3-9D3E-D6FEF25A33D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extLst xmlns:c15="http://schemas.microsoft.com/office/drawing/2012/chart"/>
            </c:numRef>
          </c:xVal>
          <c:yVal>
            <c:numRef>
              <c:f>'WR03-01'!$AI$15:$AI$48</c:f>
              <c:numCache>
                <c:formatCode>0.00</c:formatCode>
                <c:ptCount val="34"/>
                <c:pt idx="0">
                  <c:v>-0.1</c:v>
                </c:pt>
                <c:pt idx="1">
                  <c:v>0</c:v>
                </c:pt>
                <c:pt idx="2">
                  <c:v>6.8832625356357102</c:v>
                </c:pt>
                <c:pt idx="3">
                  <c:v>13.20247350510137</c:v>
                </c:pt>
                <c:pt idx="4">
                  <c:v>18.991365259319799</c:v>
                </c:pt>
                <c:pt idx="5">
                  <c:v>24.281032962732461</c:v>
                </c:pt>
                <c:pt idx="6">
                  <c:v>29.10018737097348</c:v>
                </c:pt>
                <c:pt idx="7">
                  <c:v>33.475379080559023</c:v>
                </c:pt>
                <c:pt idx="8">
                  <c:v>37.431197937456709</c:v>
                </c:pt>
                <c:pt idx="9">
                  <c:v>40.990450756724485</c:v>
                </c:pt>
                <c:pt idx="10">
                  <c:v>44.174320056411212</c:v>
                </c:pt>
                <c:pt idx="11">
                  <c:v>47.002506130606029</c:v>
                </c:pt>
                <c:pt idx="12">
                  <c:v>49.493354466753793</c:v>
                </c:pt>
                <c:pt idx="13">
                  <c:v>51.663970241228206</c:v>
                </c:pt>
                <c:pt idx="14">
                  <c:v>53.530321396586245</c:v>
                </c:pt>
                <c:pt idx="15">
                  <c:v>55.107331607286199</c:v>
                </c:pt>
                <c:pt idx="16">
                  <c:v>56.408964272479665</c:v>
                </c:pt>
                <c:pt idx="17">
                  <c:v>57.448298530278578</c:v>
                </c:pt>
                <c:pt idx="18">
                  <c:v>58.237598163915827</c:v>
                </c:pt>
                <c:pt idx="19">
                  <c:v>58.788374163359563</c:v>
                </c:pt>
                <c:pt idx="20">
                  <c:v>59.111441613618211</c:v>
                </c:pt>
                <c:pt idx="21">
                  <c:v>59.216971501021312</c:v>
                </c:pt>
                <c:pt idx="22">
                  <c:v>50.334425775868112</c:v>
                </c:pt>
              </c:numCache>
              <c:extLst xmlns:c15="http://schemas.microsoft.com/office/drawing/2012/chart"/>
            </c:numRef>
          </c:yVal>
          <c:smooth val="0"/>
          <c:extLst xmlns:c15="http://schemas.microsoft.com/office/drawing/2012/chart">
            <c:ext xmlns:c16="http://schemas.microsoft.com/office/drawing/2014/chart" uri="{C3380CC4-5D6E-409C-BE32-E72D297353CC}">
              <c16:uniqueId val="{0000000E-97C4-47C3-9D3E-D6FEF25A33D1}"/>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'WR03-01'!$AL$15:$AL$48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extLst xmlns:c15="http://schemas.microsoft.com/office/drawing/2012/chart"/>
            </c:numRef>
          </c:xVal>
          <c:yVal>
            <c:numRef>
              <c:f>'WR03-01'!$AM$15:$AM$48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00-97C4-47C3-9D3E-D6FEF25A33D1}"/>
            </c:ext>
          </c:extLst>
        </c:ser>
        <c:ser>
          <c:idx val="1"/>
          <c:order val="1"/>
          <c:tx>
            <c:v>CC - EC2 - [C]</c:v>
          </c:tx>
          <c:spPr>
            <a:ln w="19050" cap="rnd">
              <a:solidFill>
                <a:schemeClr val="accent2"/>
              </a:solidFill>
              <a:round/>
            </a:ln>
            <a:effectLst/>
          </c:spPr>
          <c:marker>
            <c:symbol val="none"/>
          </c:marker>
          <c:xVal>
            <c:numRef>
              <c:f>'WR03-01'!$AB$15:$AB$48</c:f>
              <c:numCache>
                <c:formatCode>0.00</c:formatCode>
                <c:ptCount val="34"/>
                <c:pt idx="0">
                  <c:v>-0.1</c:v>
                </c:pt>
                <c:pt idx="1">
                  <c:v>0</c:v>
                </c:pt>
                <c:pt idx="2">
                  <c:v>0.13291220451302793</c:v>
                </c:pt>
                <c:pt idx="3">
                  <c:v>0.26582440902605586</c:v>
                </c:pt>
                <c:pt idx="4">
                  <c:v>0.3987366135390838</c:v>
                </c:pt>
                <c:pt idx="5">
                  <c:v>0.53164881805211173</c:v>
                </c:pt>
                <c:pt idx="6">
                  <c:v>0.66456102256513971</c:v>
                </c:pt>
                <c:pt idx="7">
                  <c:v>0.7974732270781677</c:v>
                </c:pt>
                <c:pt idx="8">
                  <c:v>0.93038543159119569</c:v>
                </c:pt>
                <c:pt idx="9">
                  <c:v>1.0632976361042237</c:v>
                </c:pt>
                <c:pt idx="10">
                  <c:v>1.1962098406172517</c:v>
                </c:pt>
                <c:pt idx="11">
                  <c:v>1.3291220451302797</c:v>
                </c:pt>
                <c:pt idx="12">
                  <c:v>1.4620342496433076</c:v>
                </c:pt>
                <c:pt idx="13">
                  <c:v>1.5949464541563356</c:v>
                </c:pt>
                <c:pt idx="14">
                  <c:v>1.7278586586693636</c:v>
                </c:pt>
                <c:pt idx="15">
                  <c:v>1.8607708631823916</c:v>
                </c:pt>
                <c:pt idx="16">
                  <c:v>1.9936830676954196</c:v>
                </c:pt>
                <c:pt idx="17">
                  <c:v>2.1265952722084474</c:v>
                </c:pt>
                <c:pt idx="18">
                  <c:v>2.2595074767214753</c:v>
                </c:pt>
                <c:pt idx="19">
                  <c:v>2.3924196812345033</c:v>
                </c:pt>
                <c:pt idx="20">
                  <c:v>2.5253318857475313</c:v>
                </c:pt>
                <c:pt idx="21">
                  <c:v>2.6582440902605593</c:v>
                </c:pt>
                <c:pt idx="22">
                  <c:v>9.6150221967684537</c:v>
                </c:pt>
              </c:numCache>
            </c:numRef>
          </c:xVal>
          <c:yVal>
            <c:numRef>
              <c:f>'WR03-01'!$AD$15:$AD$48</c:f>
              <c:numCache>
                <c:formatCode>0.00</c:formatCode>
                <c:ptCount val="34"/>
                <c:pt idx="0">
                  <c:v>-0.1</c:v>
                </c:pt>
                <c:pt idx="1">
                  <c:v>0</c:v>
                </c:pt>
                <c:pt idx="2">
                  <c:v>5.6202683302311573</c:v>
                </c:pt>
                <c:pt idx="3">
                  <c:v>10.952317771732504</c:v>
                </c:pt>
                <c:pt idx="4">
                  <c:v>15.99614832450405</c:v>
                </c:pt>
                <c:pt idx="5">
                  <c:v>20.7517599885458</c:v>
                </c:pt>
                <c:pt idx="6">
                  <c:v>25.21915276385775</c:v>
                </c:pt>
                <c:pt idx="7">
                  <c:v>29.398326650439891</c:v>
                </c:pt>
                <c:pt idx="8">
                  <c:v>33.289281648292224</c:v>
                </c:pt>
                <c:pt idx="9">
                  <c:v>36.892017757414756</c:v>
                </c:pt>
                <c:pt idx="10">
                  <c:v>40.2065349778075</c:v>
                </c:pt>
                <c:pt idx="11">
                  <c:v>43.232833309470429</c:v>
                </c:pt>
                <c:pt idx="12">
                  <c:v>45.970912752403557</c:v>
                </c:pt>
                <c:pt idx="13">
                  <c:v>48.420773306606876</c:v>
                </c:pt>
                <c:pt idx="14">
                  <c:v>50.5824149720804</c:v>
                </c:pt>
                <c:pt idx="15">
                  <c:v>52.455837748824123</c:v>
                </c:pt>
                <c:pt idx="16">
                  <c:v>54.041041636838031</c:v>
                </c:pt>
                <c:pt idx="17">
                  <c:v>55.338026636122144</c:v>
                </c:pt>
                <c:pt idx="18">
                  <c:v>56.346792746676456</c:v>
                </c:pt>
                <c:pt idx="19">
                  <c:v>57.067339968500967</c:v>
                </c:pt>
                <c:pt idx="20">
                  <c:v>57.499668301595662</c:v>
                </c:pt>
                <c:pt idx="21">
                  <c:v>57.64377774596057</c:v>
                </c:pt>
                <c:pt idx="22">
                  <c:v>48.997211084066485</c:v>
                </c:pt>
              </c:numCache>
            </c:numRef>
          </c:yVal>
          <c:smooth val="1"/>
          <c:extLst>
            <c:ext xmlns:c16="http://schemas.microsoft.com/office/drawing/2014/chart" uri="{C3380CC4-5D6E-409C-BE32-E72D297353CC}">
              <c16:uniqueId val="{00000001-97C4-47C3-9D3E-D6FEF25A33D1}"/>
            </c:ext>
          </c:extLst>
        </c:ser>
        <c:ser>
          <c:idx val="2"/>
          <c:order val="2"/>
          <c:tx>
            <c:v>CC - EC8 - [C]</c:v>
          </c:tx>
          <c:spPr>
            <a:ln w="19050" cap="rnd">
              <a:solidFill>
                <a:schemeClr val="accent3"/>
              </a:solidFill>
              <a:round/>
            </a:ln>
            <a:effectLst/>
          </c:spPr>
          <c:marker>
            <c:symbol val="none"/>
          </c:marker>
          <c:xVal>
            <c:numRef>
              <c:f>'WR03-01'!$AG$15:$AG$48</c:f>
              <c:numCache>
                <c:formatCode>0.00</c:formatCode>
                <c:ptCount val="34"/>
                <c:pt idx="0">
                  <c:v>-0.1</c:v>
                </c:pt>
                <c:pt idx="1">
                  <c:v>0</c:v>
                </c:pt>
                <c:pt idx="2">
                  <c:v>0.1921697150102131</c:v>
                </c:pt>
                <c:pt idx="3">
                  <c:v>0.3843394300204262</c:v>
                </c:pt>
                <c:pt idx="4">
                  <c:v>0.57650914503063933</c:v>
                </c:pt>
                <c:pt idx="5">
                  <c:v>0.7686788600408524</c:v>
                </c:pt>
                <c:pt idx="6">
                  <c:v>0.96084857505106547</c:v>
                </c:pt>
                <c:pt idx="7">
                  <c:v>1.1530182900612787</c:v>
                </c:pt>
                <c:pt idx="8">
                  <c:v>1.3451880050714917</c:v>
                </c:pt>
                <c:pt idx="9">
                  <c:v>1.5373577200817048</c:v>
                </c:pt>
                <c:pt idx="10">
                  <c:v>1.7295274350919179</c:v>
                </c:pt>
                <c:pt idx="11">
                  <c:v>1.9216971501021309</c:v>
                </c:pt>
                <c:pt idx="12">
                  <c:v>2.1138668651123442</c:v>
                </c:pt>
                <c:pt idx="13">
                  <c:v>2.3060365801225573</c:v>
                </c:pt>
                <c:pt idx="14">
                  <c:v>2.4982062951327704</c:v>
                </c:pt>
                <c:pt idx="15">
                  <c:v>2.6903760101429834</c:v>
                </c:pt>
                <c:pt idx="16">
                  <c:v>2.8825457251531965</c:v>
                </c:pt>
                <c:pt idx="17">
                  <c:v>3.0747154401634096</c:v>
                </c:pt>
                <c:pt idx="18">
                  <c:v>3.2668851551736227</c:v>
                </c:pt>
                <c:pt idx="19">
                  <c:v>3.4590548701838357</c:v>
                </c:pt>
                <c:pt idx="20">
                  <c:v>3.6512245851940488</c:v>
                </c:pt>
                <c:pt idx="21">
                  <c:v>3.8433943002042619</c:v>
                </c:pt>
                <c:pt idx="22">
                  <c:v>16.908086233063667</c:v>
                </c:pt>
              </c:numCache>
              <c:extLst xmlns:c15="http://schemas.microsoft.com/office/drawing/2012/chart"/>
            </c:numRef>
          </c:xVal>
          <c:yVal>
            <c:numRef>
              <c:f>'WR03-01'!$AI$15:$AI$48</c:f>
              <c:numCache>
                <c:formatCode>0.00</c:formatCode>
                <c:ptCount val="34"/>
                <c:pt idx="0">
                  <c:v>-0.1</c:v>
                </c:pt>
                <c:pt idx="1">
                  <c:v>0</c:v>
                </c:pt>
                <c:pt idx="2">
                  <c:v>6.8832625356357102</c:v>
                </c:pt>
                <c:pt idx="3">
                  <c:v>13.20247350510137</c:v>
                </c:pt>
                <c:pt idx="4">
                  <c:v>18.991365259319799</c:v>
                </c:pt>
                <c:pt idx="5">
                  <c:v>24.281032962732461</c:v>
                </c:pt>
                <c:pt idx="6">
                  <c:v>29.10018737097348</c:v>
                </c:pt>
                <c:pt idx="7">
                  <c:v>33.475379080559023</c:v>
                </c:pt>
                <c:pt idx="8">
                  <c:v>37.431197937456709</c:v>
                </c:pt>
                <c:pt idx="9">
                  <c:v>40.990450756724485</c:v>
                </c:pt>
                <c:pt idx="10">
                  <c:v>44.174320056411212</c:v>
                </c:pt>
                <c:pt idx="11">
                  <c:v>47.002506130606029</c:v>
                </c:pt>
                <c:pt idx="12">
                  <c:v>49.493354466753793</c:v>
                </c:pt>
                <c:pt idx="13">
                  <c:v>51.663970241228206</c:v>
                </c:pt>
                <c:pt idx="14">
                  <c:v>53.530321396586245</c:v>
                </c:pt>
                <c:pt idx="15">
                  <c:v>55.107331607286199</c:v>
                </c:pt>
                <c:pt idx="16">
                  <c:v>56.408964272479665</c:v>
                </c:pt>
                <c:pt idx="17">
                  <c:v>57.448298530278578</c:v>
                </c:pt>
                <c:pt idx="18">
                  <c:v>58.237598163915827</c:v>
                </c:pt>
                <c:pt idx="19">
                  <c:v>58.788374163359563</c:v>
                </c:pt>
                <c:pt idx="20">
                  <c:v>59.111441613618211</c:v>
                </c:pt>
                <c:pt idx="21">
                  <c:v>59.216971501021312</c:v>
                </c:pt>
                <c:pt idx="22">
                  <c:v>50.334425775868112</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02-97C4-47C3-9D3E-D6FEF25A33D1}"/>
            </c:ext>
          </c:extLst>
        </c:ser>
        <c:ser>
          <c:idx val="3"/>
          <c:order val="3"/>
          <c:tx>
            <c:v>UC - EC2 - [D]</c:v>
          </c:tx>
          <c:spPr>
            <a:ln w="19050" cap="rnd">
              <a:solidFill>
                <a:schemeClr val="accent4"/>
              </a:solidFill>
              <a:round/>
            </a:ln>
            <a:effectLst/>
          </c:spPr>
          <c:marker>
            <c:symbol val="none"/>
          </c:marker>
          <c:xVal>
            <c:numRef>
              <c:f>'WR03-01'!$AL$15:$AL$48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extLst xmlns:c15="http://schemas.microsoft.com/office/drawing/2012/chart"/>
            </c:numRef>
          </c:xVal>
          <c:yVal>
            <c:numRef>
              <c:f>'WR03-01'!$AN$15:$AN$48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03-97C4-47C3-9D3E-D6FEF25A33D1}"/>
            </c:ext>
          </c:extLst>
        </c:ser>
        <c:ser>
          <c:idx val="4"/>
          <c:order val="4"/>
          <c:tx>
            <c:v>CC - EC2 - [D]</c:v>
          </c:tx>
          <c:spPr>
            <a:ln w="19050" cap="rnd">
              <a:solidFill>
                <a:schemeClr val="accent5"/>
              </a:solidFill>
              <a:round/>
            </a:ln>
            <a:effectLst/>
          </c:spPr>
          <c:marker>
            <c:symbol val="none"/>
          </c:marker>
          <c:xVal>
            <c:numRef>
              <c:f>'WR03-01'!$AB$15:$AB$48</c:f>
              <c:numCache>
                <c:formatCode>0.00</c:formatCode>
                <c:ptCount val="34"/>
                <c:pt idx="0">
                  <c:v>-0.1</c:v>
                </c:pt>
                <c:pt idx="1">
                  <c:v>0</c:v>
                </c:pt>
                <c:pt idx="2">
                  <c:v>0.13291220451302793</c:v>
                </c:pt>
                <c:pt idx="3">
                  <c:v>0.26582440902605586</c:v>
                </c:pt>
                <c:pt idx="4">
                  <c:v>0.3987366135390838</c:v>
                </c:pt>
                <c:pt idx="5">
                  <c:v>0.53164881805211173</c:v>
                </c:pt>
                <c:pt idx="6">
                  <c:v>0.66456102256513971</c:v>
                </c:pt>
                <c:pt idx="7">
                  <c:v>0.7974732270781677</c:v>
                </c:pt>
                <c:pt idx="8">
                  <c:v>0.93038543159119569</c:v>
                </c:pt>
                <c:pt idx="9">
                  <c:v>1.0632976361042237</c:v>
                </c:pt>
                <c:pt idx="10">
                  <c:v>1.1962098406172517</c:v>
                </c:pt>
                <c:pt idx="11">
                  <c:v>1.3291220451302797</c:v>
                </c:pt>
                <c:pt idx="12">
                  <c:v>1.4620342496433076</c:v>
                </c:pt>
                <c:pt idx="13">
                  <c:v>1.5949464541563356</c:v>
                </c:pt>
                <c:pt idx="14">
                  <c:v>1.7278586586693636</c:v>
                </c:pt>
                <c:pt idx="15">
                  <c:v>1.8607708631823916</c:v>
                </c:pt>
                <c:pt idx="16">
                  <c:v>1.9936830676954196</c:v>
                </c:pt>
                <c:pt idx="17">
                  <c:v>2.1265952722084474</c:v>
                </c:pt>
                <c:pt idx="18">
                  <c:v>2.2595074767214753</c:v>
                </c:pt>
                <c:pt idx="19">
                  <c:v>2.3924196812345033</c:v>
                </c:pt>
                <c:pt idx="20">
                  <c:v>2.5253318857475313</c:v>
                </c:pt>
                <c:pt idx="21">
                  <c:v>2.6582440902605593</c:v>
                </c:pt>
                <c:pt idx="22">
                  <c:v>9.6150221967684537</c:v>
                </c:pt>
              </c:numCache>
              <c:extLst xmlns:c15="http://schemas.microsoft.com/office/drawing/2012/chart"/>
            </c:numRef>
          </c:xVal>
          <c:yVal>
            <c:numRef>
              <c:f>'WR03-01'!$AE$15:$AE$48</c:f>
              <c:numCache>
                <c:formatCode>0.00</c:formatCode>
                <c:ptCount val="34"/>
                <c:pt idx="0">
                  <c:v>-0.1</c:v>
                </c:pt>
                <c:pt idx="1">
                  <c:v>0</c:v>
                </c:pt>
                <c:pt idx="2">
                  <c:v>3.1848187204643224</c:v>
                </c:pt>
                <c:pt idx="3">
                  <c:v>6.2063134039817527</c:v>
                </c:pt>
                <c:pt idx="4">
                  <c:v>9.064484050552295</c:v>
                </c:pt>
                <c:pt idx="5">
                  <c:v>11.759330660175953</c:v>
                </c:pt>
                <c:pt idx="6">
                  <c:v>14.290853232852724</c:v>
                </c:pt>
                <c:pt idx="7">
                  <c:v>16.659051768582604</c:v>
                </c:pt>
                <c:pt idx="8">
                  <c:v>18.863926267365592</c:v>
                </c:pt>
                <c:pt idx="9">
                  <c:v>20.905476729201695</c:v>
                </c:pt>
                <c:pt idx="10">
                  <c:v>22.783703154090915</c:v>
                </c:pt>
                <c:pt idx="11">
                  <c:v>24.498605542033243</c:v>
                </c:pt>
                <c:pt idx="12">
                  <c:v>26.050183893028684</c:v>
                </c:pt>
                <c:pt idx="13">
                  <c:v>27.43843820707723</c:v>
                </c:pt>
                <c:pt idx="14">
                  <c:v>28.663368484178893</c:v>
                </c:pt>
                <c:pt idx="15">
                  <c:v>29.724974724333666</c:v>
                </c:pt>
                <c:pt idx="16">
                  <c:v>30.623256927541551</c:v>
                </c:pt>
                <c:pt idx="17">
                  <c:v>31.358215093802546</c:v>
                </c:pt>
                <c:pt idx="18">
                  <c:v>31.929849223116658</c:v>
                </c:pt>
                <c:pt idx="19">
                  <c:v>32.338159315483878</c:v>
                </c:pt>
                <c:pt idx="20">
                  <c:v>32.583145370904212</c:v>
                </c:pt>
                <c:pt idx="21">
                  <c:v>32.664807389377657</c:v>
                </c:pt>
                <c:pt idx="22">
                  <c:v>27.765086280971008</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04-97C4-47C3-9D3E-D6FEF25A33D1}"/>
            </c:ext>
          </c:extLst>
        </c:ser>
        <c:ser>
          <c:idx val="5"/>
          <c:order val="5"/>
          <c:tx>
            <c:v>CC - EC8 - [D]</c:v>
          </c:tx>
          <c:spPr>
            <a:ln w="19050" cap="rnd">
              <a:solidFill>
                <a:schemeClr val="accent6"/>
              </a:solidFill>
              <a:round/>
            </a:ln>
            <a:effectLst/>
          </c:spPr>
          <c:marker>
            <c:symbol val="none"/>
          </c:marker>
          <c:xVal>
            <c:numRef>
              <c:f>'WR03-01'!$AG$15:$AG$48</c:f>
              <c:numCache>
                <c:formatCode>0.00</c:formatCode>
                <c:ptCount val="34"/>
                <c:pt idx="0">
                  <c:v>-0.1</c:v>
                </c:pt>
                <c:pt idx="1">
                  <c:v>0</c:v>
                </c:pt>
                <c:pt idx="2">
                  <c:v>0.1921697150102131</c:v>
                </c:pt>
                <c:pt idx="3">
                  <c:v>0.3843394300204262</c:v>
                </c:pt>
                <c:pt idx="4">
                  <c:v>0.57650914503063933</c:v>
                </c:pt>
                <c:pt idx="5">
                  <c:v>0.7686788600408524</c:v>
                </c:pt>
                <c:pt idx="6">
                  <c:v>0.96084857505106547</c:v>
                </c:pt>
                <c:pt idx="7">
                  <c:v>1.1530182900612787</c:v>
                </c:pt>
                <c:pt idx="8">
                  <c:v>1.3451880050714917</c:v>
                </c:pt>
                <c:pt idx="9">
                  <c:v>1.5373577200817048</c:v>
                </c:pt>
                <c:pt idx="10">
                  <c:v>1.7295274350919179</c:v>
                </c:pt>
                <c:pt idx="11">
                  <c:v>1.9216971501021309</c:v>
                </c:pt>
                <c:pt idx="12">
                  <c:v>2.1138668651123442</c:v>
                </c:pt>
                <c:pt idx="13">
                  <c:v>2.3060365801225573</c:v>
                </c:pt>
                <c:pt idx="14">
                  <c:v>2.4982062951327704</c:v>
                </c:pt>
                <c:pt idx="15">
                  <c:v>2.6903760101429834</c:v>
                </c:pt>
                <c:pt idx="16">
                  <c:v>2.8825457251531965</c:v>
                </c:pt>
                <c:pt idx="17">
                  <c:v>3.0747154401634096</c:v>
                </c:pt>
                <c:pt idx="18">
                  <c:v>3.2668851551736227</c:v>
                </c:pt>
                <c:pt idx="19">
                  <c:v>3.4590548701838357</c:v>
                </c:pt>
                <c:pt idx="20">
                  <c:v>3.6512245851940488</c:v>
                </c:pt>
                <c:pt idx="21">
                  <c:v>3.8433943002042619</c:v>
                </c:pt>
                <c:pt idx="22">
                  <c:v>16.908086233063667</c:v>
                </c:pt>
              </c:numCache>
              <c:extLst xmlns:c15="http://schemas.microsoft.com/office/drawing/2012/chart"/>
            </c:numRef>
          </c:xVal>
          <c:yVal>
            <c:numRef>
              <c:f>'WR03-01'!$AJ$15:$AJ$48</c:f>
              <c:numCache>
                <c:formatCode>0.00</c:formatCode>
                <c:ptCount val="34"/>
                <c:pt idx="0">
                  <c:v>-0.1</c:v>
                </c:pt>
                <c:pt idx="1">
                  <c:v>0</c:v>
                </c:pt>
                <c:pt idx="2">
                  <c:v>3.9005154368602355</c:v>
                </c:pt>
                <c:pt idx="3">
                  <c:v>7.481401652890777</c:v>
                </c:pt>
                <c:pt idx="4">
                  <c:v>10.761773646947887</c:v>
                </c:pt>
                <c:pt idx="5">
                  <c:v>13.759252012215059</c:v>
                </c:pt>
                <c:pt idx="6">
                  <c:v>16.490106176884971</c:v>
                </c:pt>
                <c:pt idx="7">
                  <c:v>18.969381478983447</c:v>
                </c:pt>
                <c:pt idx="8">
                  <c:v>21.211012164558799</c:v>
                </c:pt>
                <c:pt idx="9">
                  <c:v>23.227922095477208</c:v>
                </c:pt>
                <c:pt idx="10">
                  <c:v>25.03211469863302</c:v>
                </c:pt>
                <c:pt idx="11">
                  <c:v>26.634753474010083</c:v>
                </c:pt>
                <c:pt idx="12">
                  <c:v>28.046234197827147</c:v>
                </c:pt>
                <c:pt idx="13">
                  <c:v>29.276249803362649</c:v>
                </c:pt>
                <c:pt idx="14">
                  <c:v>30.333848791398875</c:v>
                </c:pt>
                <c:pt idx="15">
                  <c:v>31.227487910795514</c:v>
                </c:pt>
                <c:pt idx="16">
                  <c:v>31.965079754405142</c:v>
                </c:pt>
                <c:pt idx="17">
                  <c:v>32.554035833824528</c:v>
                </c:pt>
                <c:pt idx="18">
                  <c:v>33.001305626218972</c:v>
                </c:pt>
                <c:pt idx="19">
                  <c:v>33.313412025903752</c:v>
                </c:pt>
                <c:pt idx="20">
                  <c:v>33.49648358105032</c:v>
                </c:pt>
                <c:pt idx="21">
                  <c:v>33.556283850578744</c:v>
                </c:pt>
                <c:pt idx="22">
                  <c:v>28.522841272991929</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05-97C4-47C3-9D3E-D6FEF25A33D1}"/>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97C4-47C3-9D3E-D6FEF25A33D1}"/>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5B-97C4-47C3-9D3E-D6FEF25A33D1}"/>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97C4-47C3-9D3E-D6FEF25A33D1}"/>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97C4-47C3-9D3E-D6FEF25A33D1}"/>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97C4-47C3-9D3E-D6FEF25A33D1}"/>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97C4-47C3-9D3E-D6FEF25A33D1}"/>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97C4-47C3-9D3E-D6FEF25A33D1}"/>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97C4-47C3-9D3E-D6FEF25A33D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97C4-47C3-9D3E-D6FEF25A33D1}"/>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97C4-47C3-9D3E-D6FEF25A33D1}"/>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D-97C4-47C3-9D3E-D6FEF25A33D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97C4-47C3-9D3E-D6FEF25A33D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F-97C4-47C3-9D3E-D6FEF25A33D1}"/>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97C4-47C3-9D3E-D6FEF25A33D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97C4-47C3-9D3E-D6FEF25A33D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97C4-47C3-9D3E-D6FEF25A33D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97C4-47C3-9D3E-D6FEF25A33D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97C4-47C3-9D3E-D6FEF25A33D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97C4-47C3-9D3E-D6FEF25A33D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97C4-47C3-9D3E-D6FEF25A33D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97C4-47C3-9D3E-D6FEF25A33D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97C4-47C3-9D3E-D6FEF25A33D1}"/>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97C4-47C3-9D3E-D6FEF25A33D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'WR03-01'!$AY$15:$AY$47</c:f>
              <c:numCache>
                <c:formatCode>0.00</c:formatCode>
                <c:ptCount val="33"/>
                <c:pt idx="0">
                  <c:v>9.6150221967684537</c:v>
                </c:pt>
                <c:pt idx="1">
                  <c:v>9.6150221967684537</c:v>
                </c:pt>
                <c:pt idx="2">
                  <c:v>9.6150221967684537</c:v>
                </c:pt>
                <c:pt idx="3">
                  <c:v>9.6150221967684537</c:v>
                </c:pt>
                <c:pt idx="4">
                  <c:v>9.6150221967684537</c:v>
                </c:pt>
                <c:pt idx="5">
                  <c:v>9.6150221967684537</c:v>
                </c:pt>
                <c:pt idx="6">
                  <c:v>9.6150221967684537</c:v>
                </c:pt>
                <c:pt idx="7">
                  <c:v>9.6150221967684537</c:v>
                </c:pt>
                <c:pt idx="8">
                  <c:v>9.6150221967684537</c:v>
                </c:pt>
                <c:pt idx="9">
                  <c:v>9.6150221967684537</c:v>
                </c:pt>
                <c:pt idx="10">
                  <c:v>9.6150221967684537</c:v>
                </c:pt>
                <c:pt idx="11">
                  <c:v>9.6150221967684537</c:v>
                </c:pt>
                <c:pt idx="12">
                  <c:v>9.6150221967684537</c:v>
                </c:pt>
                <c:pt idx="13">
                  <c:v>9.6150221967684537</c:v>
                </c:pt>
                <c:pt idx="14">
                  <c:v>9.6150221967684537</c:v>
                </c:pt>
                <c:pt idx="15">
                  <c:v>9.6150221967684537</c:v>
                </c:pt>
                <c:pt idx="16">
                  <c:v>9.6150221967684537</c:v>
                </c:pt>
                <c:pt idx="17">
                  <c:v>9.6150221967684537</c:v>
                </c:pt>
                <c:pt idx="18">
                  <c:v>9.6150221967684537</c:v>
                </c:pt>
                <c:pt idx="19">
                  <c:v>9.6150221967684537</c:v>
                </c:pt>
                <c:pt idx="20">
                  <c:v>9.6150221967684537</c:v>
                </c:pt>
                <c:pt idx="21">
                  <c:v>9.6150221967684537</c:v>
                </c:pt>
                <c:pt idx="22">
                  <c:v>9.6150221967684537</c:v>
                </c:pt>
              </c:numCache>
              <c:extLst xmlns:c15="http://schemas.microsoft.com/office/drawing/2012/chart"/>
            </c:numRef>
          </c:xVal>
          <c:yVal>
            <c:numRef>
              <c:f>'WR03-01'!$AI$15:$AI$48</c:f>
              <c:numCache>
                <c:formatCode>0.00</c:formatCode>
                <c:ptCount val="34"/>
                <c:pt idx="0">
                  <c:v>-0.1</c:v>
                </c:pt>
                <c:pt idx="1">
                  <c:v>0</c:v>
                </c:pt>
                <c:pt idx="2">
                  <c:v>6.8832625356357102</c:v>
                </c:pt>
                <c:pt idx="3">
                  <c:v>13.20247350510137</c:v>
                </c:pt>
                <c:pt idx="4">
                  <c:v>18.991365259319799</c:v>
                </c:pt>
                <c:pt idx="5">
                  <c:v>24.281032962732461</c:v>
                </c:pt>
                <c:pt idx="6">
                  <c:v>29.10018737097348</c:v>
                </c:pt>
                <c:pt idx="7">
                  <c:v>33.475379080559023</c:v>
                </c:pt>
                <c:pt idx="8">
                  <c:v>37.431197937456709</c:v>
                </c:pt>
                <c:pt idx="9">
                  <c:v>40.990450756724485</c:v>
                </c:pt>
                <c:pt idx="10">
                  <c:v>44.174320056411212</c:v>
                </c:pt>
                <c:pt idx="11">
                  <c:v>47.002506130606029</c:v>
                </c:pt>
                <c:pt idx="12">
                  <c:v>49.493354466753793</c:v>
                </c:pt>
                <c:pt idx="13">
                  <c:v>51.663970241228206</c:v>
                </c:pt>
                <c:pt idx="14">
                  <c:v>53.530321396586245</c:v>
                </c:pt>
                <c:pt idx="15">
                  <c:v>55.107331607286199</c:v>
                </c:pt>
                <c:pt idx="16">
                  <c:v>56.408964272479665</c:v>
                </c:pt>
                <c:pt idx="17">
                  <c:v>57.448298530278578</c:v>
                </c:pt>
                <c:pt idx="18">
                  <c:v>58.237598163915827</c:v>
                </c:pt>
                <c:pt idx="19">
                  <c:v>58.788374163359563</c:v>
                </c:pt>
                <c:pt idx="20">
                  <c:v>59.111441613618211</c:v>
                </c:pt>
                <c:pt idx="21">
                  <c:v>59.216971501021312</c:v>
                </c:pt>
                <c:pt idx="22">
                  <c:v>50.334425775868112</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2C-97C4-47C3-9D3E-D6FEF25A33D1}"/>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97C4-47C3-9D3E-D6FEF25A33D1}"/>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72-97C4-47C3-9D3E-D6FEF25A33D1}"/>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97C4-47C3-9D3E-D6FEF25A33D1}"/>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97C4-47C3-9D3E-D6FEF25A33D1}"/>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97C4-47C3-9D3E-D6FEF25A33D1}"/>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97C4-47C3-9D3E-D6FEF25A33D1}"/>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97C4-47C3-9D3E-D6FEF25A33D1}"/>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97C4-47C3-9D3E-D6FEF25A33D1}"/>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97C4-47C3-9D3E-D6FEF25A33D1}"/>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97C4-47C3-9D3E-D6FEF25A33D1}"/>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5-97C4-47C3-9D3E-D6FEF25A33D1}"/>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1-97C4-47C3-9D3E-D6FEF25A33D1}"/>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7-97C4-47C3-9D3E-D6FEF25A33D1}"/>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70-97C4-47C3-9D3E-D6FEF25A33D1}"/>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F-97C4-47C3-9D3E-D6FEF25A33D1}"/>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D-97C4-47C3-9D3E-D6FEF25A33D1}"/>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B-97C4-47C3-9D3E-D6FEF25A33D1}"/>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A-97C4-47C3-9D3E-D6FEF25A33D1}"/>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9-97C4-47C3-9D3E-D6FEF25A33D1}"/>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E-97C4-47C3-9D3E-D6FEF25A33D1}"/>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C-97C4-47C3-9D3E-D6FEF25A33D1}"/>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8-97C4-47C3-9D3E-D6FEF25A33D1}"/>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6-97C4-47C3-9D3E-D6FEF25A33D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'WR03-01'!$AZ$15:$AZ$47</c:f>
              <c:numCache>
                <c:formatCode>0.00</c:formatCode>
                <c:ptCount val="33"/>
                <c:pt idx="0">
                  <c:v>16.908086233063667</c:v>
                </c:pt>
                <c:pt idx="1">
                  <c:v>16.908086233063667</c:v>
                </c:pt>
                <c:pt idx="2">
                  <c:v>16.908086233063667</c:v>
                </c:pt>
                <c:pt idx="3">
                  <c:v>16.908086233063667</c:v>
                </c:pt>
                <c:pt idx="4">
                  <c:v>16.908086233063667</c:v>
                </c:pt>
                <c:pt idx="5">
                  <c:v>16.908086233063667</c:v>
                </c:pt>
                <c:pt idx="6">
                  <c:v>16.908086233063667</c:v>
                </c:pt>
                <c:pt idx="7">
                  <c:v>16.908086233063667</c:v>
                </c:pt>
                <c:pt idx="8">
                  <c:v>16.908086233063667</c:v>
                </c:pt>
                <c:pt idx="9">
                  <c:v>16.908086233063667</c:v>
                </c:pt>
                <c:pt idx="10">
                  <c:v>16.908086233063667</c:v>
                </c:pt>
                <c:pt idx="11">
                  <c:v>16.908086233063667</c:v>
                </c:pt>
                <c:pt idx="12">
                  <c:v>16.908086233063667</c:v>
                </c:pt>
                <c:pt idx="13">
                  <c:v>16.908086233063667</c:v>
                </c:pt>
                <c:pt idx="14">
                  <c:v>16.908086233063667</c:v>
                </c:pt>
                <c:pt idx="15">
                  <c:v>16.908086233063667</c:v>
                </c:pt>
                <c:pt idx="16">
                  <c:v>16.908086233063667</c:v>
                </c:pt>
                <c:pt idx="17">
                  <c:v>16.908086233063667</c:v>
                </c:pt>
                <c:pt idx="18">
                  <c:v>16.908086233063667</c:v>
                </c:pt>
                <c:pt idx="19">
                  <c:v>16.908086233063667</c:v>
                </c:pt>
                <c:pt idx="20">
                  <c:v>16.908086233063667</c:v>
                </c:pt>
                <c:pt idx="21">
                  <c:v>16.908086233063667</c:v>
                </c:pt>
                <c:pt idx="22">
                  <c:v>16.908086233063667</c:v>
                </c:pt>
              </c:numCache>
              <c:extLst xmlns:c15="http://schemas.microsoft.com/office/drawing/2012/chart"/>
            </c:numRef>
          </c:xVal>
          <c:yVal>
            <c:numRef>
              <c:f>'WR03-01'!$AI$15:$AI$48</c:f>
              <c:numCache>
                <c:formatCode>0.00</c:formatCode>
                <c:ptCount val="34"/>
                <c:pt idx="0">
                  <c:v>-0.1</c:v>
                </c:pt>
                <c:pt idx="1">
                  <c:v>0</c:v>
                </c:pt>
                <c:pt idx="2">
                  <c:v>6.8832625356357102</c:v>
                </c:pt>
                <c:pt idx="3">
                  <c:v>13.20247350510137</c:v>
                </c:pt>
                <c:pt idx="4">
                  <c:v>18.991365259319799</c:v>
                </c:pt>
                <c:pt idx="5">
                  <c:v>24.281032962732461</c:v>
                </c:pt>
                <c:pt idx="6">
                  <c:v>29.10018737097348</c:v>
                </c:pt>
                <c:pt idx="7">
                  <c:v>33.475379080559023</c:v>
                </c:pt>
                <c:pt idx="8">
                  <c:v>37.431197937456709</c:v>
                </c:pt>
                <c:pt idx="9">
                  <c:v>40.990450756724485</c:v>
                </c:pt>
                <c:pt idx="10">
                  <c:v>44.174320056411212</c:v>
                </c:pt>
                <c:pt idx="11">
                  <c:v>47.002506130606029</c:v>
                </c:pt>
                <c:pt idx="12">
                  <c:v>49.493354466753793</c:v>
                </c:pt>
                <c:pt idx="13">
                  <c:v>51.663970241228206</c:v>
                </c:pt>
                <c:pt idx="14">
                  <c:v>53.530321396586245</c:v>
                </c:pt>
                <c:pt idx="15">
                  <c:v>55.107331607286199</c:v>
                </c:pt>
                <c:pt idx="16">
                  <c:v>56.408964272479665</c:v>
                </c:pt>
                <c:pt idx="17">
                  <c:v>57.448298530278578</c:v>
                </c:pt>
                <c:pt idx="18">
                  <c:v>58.237598163915827</c:v>
                </c:pt>
                <c:pt idx="19">
                  <c:v>58.788374163359563</c:v>
                </c:pt>
                <c:pt idx="20">
                  <c:v>59.111441613618211</c:v>
                </c:pt>
                <c:pt idx="21">
                  <c:v>59.216971501021312</c:v>
                </c:pt>
                <c:pt idx="22">
                  <c:v>50.334425775868112</c:v>
                </c:pt>
              </c:numCache>
              <c:extLst xmlns:c15="http://schemas.microsoft.com/office/drawing/2012/chart"/>
            </c:numRef>
          </c:yVal>
          <c:smooth val="1"/>
          <c:extLst xmlns:c15="http://schemas.microsoft.com/office/drawing/2012/chart">
            <c:ext xmlns:c16="http://schemas.microsoft.com/office/drawing/2014/chart" uri="{C3380CC4-5D6E-409C-BE32-E72D297353CC}">
              <c16:uniqueId val="{0000002D-97C4-47C3-9D3E-D6FEF25A33D1}"/>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'WR03-01'!$AP$24:$AP$28</c:f>
              <c:numCache>
                <c:formatCode>0.00</c:formatCode>
                <c:ptCount val="5"/>
                <c:pt idx="0">
                  <c:v>-45</c:v>
                </c:pt>
                <c:pt idx="1">
                  <c:v>-2.1739130434782608</c:v>
                </c:pt>
                <c:pt idx="2">
                  <c:v>0</c:v>
                </c:pt>
                <c:pt idx="3">
                  <c:v>2.1739130434782608</c:v>
                </c:pt>
                <c:pt idx="4">
                  <c:v>45</c:v>
                </c:pt>
              </c:numCache>
            </c:numRef>
          </c:xVal>
          <c:yVal>
            <c:numRef>
              <c:f>'WR03-01'!$AQ$24:$AQ$28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6E81-4BC5-89CD-AD5FCB98ED2C}"/>
            </c:ext>
          </c:extLst>
        </c:ser>
        <c:ser>
          <c:idx val="1"/>
          <c:order val="1"/>
          <c:tx>
            <c:v>RFT - Without Hardening [C]</c:v>
          </c:tx>
          <c:spPr>
            <a:ln w="19050" cap="rnd">
              <a:solidFill>
                <a:schemeClr val="accent2"/>
              </a:solidFill>
              <a:round/>
            </a:ln>
            <a:effectLst/>
          </c:spPr>
          <c:marker>
            <c:symbol val="none"/>
          </c:marker>
          <c:xVal>
            <c:numRef>
              <c:f>'WR03-01'!$AP$15:$AP$19</c:f>
              <c:numCache>
                <c:formatCode>0.00</c:formatCode>
                <c:ptCount val="5"/>
                <c:pt idx="0">
                  <c:v>-45</c:v>
                </c:pt>
                <c:pt idx="1">
                  <c:v>-2.5</c:v>
                </c:pt>
                <c:pt idx="2">
                  <c:v>0</c:v>
                </c:pt>
                <c:pt idx="3">
                  <c:v>2.5</c:v>
                </c:pt>
                <c:pt idx="4">
                  <c:v>45</c:v>
                </c:pt>
              </c:numCache>
            </c:numRef>
          </c:xVal>
          <c:yVal>
            <c:numRef>
              <c:f>'WR03-01'!$AQ$15:$AQ$19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2-6E81-4BC5-89CD-AD5FCB98ED2C}"/>
            </c:ext>
          </c:extLst>
        </c:ser>
        <c:ser>
          <c:idx val="2"/>
          <c:order val="2"/>
          <c:tx>
            <c:v>RFT - With Hardening [D]</c:v>
          </c:tx>
          <c:spPr>
            <a:ln w="19050" cap="rnd">
              <a:solidFill>
                <a:schemeClr val="accent3"/>
              </a:solidFill>
              <a:round/>
            </a:ln>
            <a:effectLst/>
          </c:spPr>
          <c:marker>
            <c:symbol val="none"/>
          </c:marker>
          <c:xVal>
            <c:numRef>
              <c:f>'WR03-01'!$AS$24:$AS$28</c:f>
              <c:numCache>
                <c:formatCode>0.00</c:formatCode>
                <c:ptCount val="5"/>
                <c:pt idx="0">
                  <c:v>-45</c:v>
                </c:pt>
                <c:pt idx="1">
                  <c:v>-2.1739130434782612</c:v>
                </c:pt>
                <c:pt idx="2">
                  <c:v>0</c:v>
                </c:pt>
                <c:pt idx="3">
                  <c:v>2.1739130434782612</c:v>
                </c:pt>
                <c:pt idx="4">
                  <c:v>45</c:v>
                </c:pt>
              </c:numCache>
            </c:numRef>
          </c:xVal>
          <c:yVal>
            <c:numRef>
              <c:f>'WR03-01'!$AT$24:$AT$28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3-6E81-4BC5-89CD-AD5FCB98ED2C}"/>
            </c:ext>
          </c:extLst>
        </c:ser>
        <c:ser>
          <c:idx val="3"/>
          <c:order val="3"/>
          <c:tx>
            <c:v>RFT - With Hardening [C]</c:v>
          </c:tx>
          <c:spPr>
            <a:ln w="19050" cap="rnd">
              <a:solidFill>
                <a:schemeClr val="accent4"/>
              </a:solidFill>
              <a:round/>
            </a:ln>
            <a:effectLst/>
          </c:spPr>
          <c:marker>
            <c:symbol val="none"/>
          </c:marker>
          <c:xVal>
            <c:numRef>
              <c:f>'WR03-01'!$AS$15:$AS$19</c:f>
              <c:numCache>
                <c:formatCode>0.00</c:formatCode>
                <c:ptCount val="5"/>
                <c:pt idx="0">
                  <c:v>-45</c:v>
                </c:pt>
                <c:pt idx="1">
                  <c:v>-2.5</c:v>
                </c:pt>
                <c:pt idx="2">
                  <c:v>0</c:v>
                </c:pt>
                <c:pt idx="3">
                  <c:v>2.5</c:v>
                </c:pt>
                <c:pt idx="4">
                  <c:v>45</c:v>
                </c:pt>
              </c:numCache>
            </c:numRef>
          </c:xVal>
          <c:yVal>
            <c:numRef>
              <c:f>'WR03-01'!$AT$15:$AT$19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4-6E81-4BC5-89CD-AD5FCB98ED2C}"/>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8DBE-4D73-A336-05B5F4E42EDF}"/>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8DBE-4D73-A336-05B5F4E42ED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8DBE-4D73-A336-05B5F4E42ED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8DBE-4D73-A336-05B5F4E42ED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8DBE-4D73-A336-05B5F4E42ED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8DBE-4D73-A336-05B5F4E42ED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8DBE-4D73-A336-05B5F4E42ED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8DBE-4D73-A336-05B5F4E42ED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8DBE-4D73-A336-05B5F4E42ED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8DBE-4D73-A336-05B5F4E42ED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8DBE-4D73-A336-05B5F4E42ED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8DBE-4D73-A336-05B5F4E42ED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8DBE-4D73-A336-05B5F4E42ED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8DBE-4D73-A336-05B5F4E42ED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8DBE-4D73-A336-05B5F4E42ED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8DBE-4D73-A336-05B5F4E42ED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8DBE-4D73-A336-05B5F4E42ED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8DBE-4D73-A336-05B5F4E42ED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8DBE-4D73-A336-05B5F4E42ED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8DBE-4D73-A336-05B5F4E42ED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8DBE-4D73-A336-05B5F4E42ED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8DBE-4D73-A336-05B5F4E42ED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8DBE-4D73-A336-05B5F4E42ED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'WR03-04'!$AV$15:$AV$47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numRef>
          </c:xVal>
          <c:yVal>
            <c:numRef>
              <c:f>'WR03-04'!$AI$15:$AI$48</c:f>
              <c:numCache>
                <c:formatCode>0.00</c:formatCode>
                <c:ptCount val="34"/>
                <c:pt idx="0">
                  <c:v>-0.1</c:v>
                </c:pt>
                <c:pt idx="1">
                  <c:v>0</c:v>
                </c:pt>
                <c:pt idx="2">
                  <c:v>7.9099078445097506</c:v>
                </c:pt>
                <c:pt idx="3">
                  <c:v>15.028131365043498</c:v>
                </c:pt>
                <c:pt idx="4">
                  <c:v>21.427411218027906</c:v>
                </c:pt>
                <c:pt idx="5">
                  <c:v>27.171841574277288</c:v>
                </c:pt>
                <c:pt idx="6">
                  <c:v>32.318117773197415</c:v>
                </c:pt>
                <c:pt idx="7">
                  <c:v>36.916573998823765</c:v>
                </c:pt>
                <c:pt idx="8">
                  <c:v>41.012051081603516</c:v>
                </c:pt>
                <c:pt idx="9">
                  <c:v>44.644626008634731</c:v>
                </c:pt>
                <c:pt idx="10">
                  <c:v>47.850228188068122</c:v>
                </c:pt>
                <c:pt idx="11">
                  <c:v>50.661162460142414</c:v>
                </c:pt>
                <c:pt idx="12">
                  <c:v>53.106554912860403</c:v>
                </c:pt>
                <c:pt idx="13">
                  <c:v>55.212734476013871</c:v>
                </c:pt>
                <c:pt idx="14">
                  <c:v>57.00356083379927</c:v>
                </c:pt>
                <c:pt idx="15">
                  <c:v>58.500707264535897</c:v>
                </c:pt>
                <c:pt idx="16">
                  <c:v>59.723905473632541</c:v>
                </c:pt>
                <c:pt idx="17">
                  <c:v>60.691158247658308</c:v>
                </c:pt>
                <c:pt idx="18">
                  <c:v>61.418924757976093</c:v>
                </c:pt>
                <c:pt idx="19">
                  <c:v>61.922282531759585</c:v>
                </c:pt>
                <c:pt idx="20">
                  <c:v>62.215069447538006</c:v>
                </c:pt>
                <c:pt idx="21">
                  <c:v>62.310008571493334</c:v>
                </c:pt>
                <c:pt idx="22">
                  <c:v>52.963507285769332</c:v>
                </c:pt>
              </c:numCache>
            </c:numRef>
          </c:yVal>
          <c:smooth val="0"/>
          <c:extLst xmlns:c15="http://schemas.microsoft.com/office/drawing/2012/chart">
            <c:ext xmlns:c16="http://schemas.microsoft.com/office/drawing/2014/chart" uri="{C3380CC4-5D6E-409C-BE32-E72D297353CC}">
              <c16:uniqueId val="{00000017-8DBE-4D73-A336-05B5F4E42EDF}"/>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8DBE-4D73-A336-05B5F4E42EDF}"/>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9-8DBE-4D73-A336-05B5F4E42ED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8DBE-4D73-A336-05B5F4E42ED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8DBE-4D73-A336-05B5F4E42ED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8DBE-4D73-A336-05B5F4E42ED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8DBE-4D73-A336-05B5F4E42ED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8DBE-4D73-A336-05B5F4E42ED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8DBE-4D73-A336-05B5F4E42ED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8DBE-4D73-A336-05B5F4E42ED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8DBE-4D73-A336-05B5F4E42ED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8DBE-4D73-A336-05B5F4E42ED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8DBE-4D73-A336-05B5F4E42ED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8DBE-4D73-A336-05B5F4E42ED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8DBE-4D73-A336-05B5F4E42ED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8DBE-4D73-A336-05B5F4E42ED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8DBE-4D73-A336-05B5F4E42ED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8DBE-4D73-A336-05B5F4E42ED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8DBE-4D73-A336-05B5F4E42ED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8DBE-4D73-A336-05B5F4E42ED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8DBE-4D73-A336-05B5F4E42ED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8DBE-4D73-A336-05B5F4E42ED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8DBE-4D73-A336-05B5F4E42ED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E-8DBE-4D73-A336-05B5F4E42ED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'WR03-04'!$AX$15:$AX$47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numRef>
          </c:xVal>
          <c:yVal>
            <c:numRef>
              <c:f>'WR03-04'!$AI$15:$AI$48</c:f>
              <c:numCache>
                <c:formatCode>0.00</c:formatCode>
                <c:ptCount val="34"/>
                <c:pt idx="0">
                  <c:v>-0.1</c:v>
                </c:pt>
                <c:pt idx="1">
                  <c:v>0</c:v>
                </c:pt>
                <c:pt idx="2">
                  <c:v>7.9099078445097506</c:v>
                </c:pt>
                <c:pt idx="3">
                  <c:v>15.028131365043498</c:v>
                </c:pt>
                <c:pt idx="4">
                  <c:v>21.427411218027906</c:v>
                </c:pt>
                <c:pt idx="5">
                  <c:v>27.171841574277288</c:v>
                </c:pt>
                <c:pt idx="6">
                  <c:v>32.318117773197415</c:v>
                </c:pt>
                <c:pt idx="7">
                  <c:v>36.916573998823765</c:v>
                </c:pt>
                <c:pt idx="8">
                  <c:v>41.012051081603516</c:v>
                </c:pt>
                <c:pt idx="9">
                  <c:v>44.644626008634731</c:v>
                </c:pt>
                <c:pt idx="10">
                  <c:v>47.850228188068122</c:v>
                </c:pt>
                <c:pt idx="11">
                  <c:v>50.661162460142414</c:v>
                </c:pt>
                <c:pt idx="12">
                  <c:v>53.106554912860403</c:v>
                </c:pt>
                <c:pt idx="13">
                  <c:v>55.212734476013871</c:v>
                </c:pt>
                <c:pt idx="14">
                  <c:v>57.00356083379927</c:v>
                </c:pt>
                <c:pt idx="15">
                  <c:v>58.500707264535897</c:v>
                </c:pt>
                <c:pt idx="16">
                  <c:v>59.723905473632541</c:v>
                </c:pt>
                <c:pt idx="17">
                  <c:v>60.691158247658308</c:v>
                </c:pt>
                <c:pt idx="18">
                  <c:v>61.418924757976093</c:v>
                </c:pt>
                <c:pt idx="19">
                  <c:v>61.922282531759585</c:v>
                </c:pt>
                <c:pt idx="20">
                  <c:v>62.215069447538006</c:v>
                </c:pt>
                <c:pt idx="21">
                  <c:v>62.310008571493334</c:v>
                </c:pt>
                <c:pt idx="22">
                  <c:v>52.963507285769332</c:v>
                </c:pt>
              </c:numCache>
            </c:numRef>
          </c:yVal>
          <c:smooth val="0"/>
          <c:extLst xmlns:c15="http://schemas.microsoft.com/office/drawing/2012/chart">
            <c:ext xmlns:c16="http://schemas.microsoft.com/office/drawing/2014/chart" uri="{C3380CC4-5D6E-409C-BE32-E72D297353CC}">
              <c16:uniqueId val="{0000002F-8DBE-4D73-A336-05B5F4E42EDF}"/>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'WR03-04'!$AL$15:$AL$48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'WR03-04'!$AM$15:$AM$48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numRef>
          </c:yVal>
          <c:smooth val="1"/>
          <c:extLst xmlns:c15="http://schemas.microsoft.com/office/drawing/2012/chart">
            <c:ext xmlns:c16="http://schemas.microsoft.com/office/drawing/2014/chart" uri="{C3380CC4-5D6E-409C-BE32-E72D297353CC}">
              <c16:uniqueId val="{00000030-8DBE-4D73-A336-05B5F4E42EDF}"/>
            </c:ext>
          </c:extLst>
        </c:ser>
        <c:ser>
          <c:idx val="1"/>
          <c:order val="1"/>
          <c:tx>
            <c:v>CC - EC2 - [C]</c:v>
          </c:tx>
          <c:spPr>
            <a:ln w="19050" cap="rnd">
              <a:solidFill>
                <a:schemeClr val="accent2"/>
              </a:solidFill>
              <a:round/>
            </a:ln>
            <a:effectLst/>
          </c:spPr>
          <c:marker>
            <c:symbol val="none"/>
          </c:marker>
          <c:xVal>
            <c:numRef>
              <c:f>'WR03-04'!$AB$15:$AB$48</c:f>
              <c:numCache>
                <c:formatCode>0.00</c:formatCode>
                <c:ptCount val="34"/>
                <c:pt idx="0">
                  <c:v>-0.1</c:v>
                </c:pt>
                <c:pt idx="1">
                  <c:v>0</c:v>
                </c:pt>
                <c:pt idx="2">
                  <c:v>0.14738585869458309</c:v>
                </c:pt>
                <c:pt idx="3">
                  <c:v>0.29477171738916619</c:v>
                </c:pt>
                <c:pt idx="4">
                  <c:v>0.44215757608374928</c:v>
                </c:pt>
                <c:pt idx="5">
                  <c:v>0.58954343477833238</c:v>
                </c:pt>
                <c:pt idx="6">
                  <c:v>0.73692929347291547</c:v>
                </c:pt>
                <c:pt idx="7">
                  <c:v>0.88431515216749856</c:v>
                </c:pt>
                <c:pt idx="8">
                  <c:v>1.0317010108620817</c:v>
                </c:pt>
                <c:pt idx="9">
                  <c:v>1.1790868695566648</c:v>
                </c:pt>
                <c:pt idx="10">
                  <c:v>1.3264727282512478</c:v>
                </c:pt>
                <c:pt idx="11">
                  <c:v>1.4738585869458309</c:v>
                </c:pt>
                <c:pt idx="12">
                  <c:v>1.621244445640414</c:v>
                </c:pt>
                <c:pt idx="13">
                  <c:v>1.7686303043349971</c:v>
                </c:pt>
                <c:pt idx="14">
                  <c:v>1.9160161630295802</c:v>
                </c:pt>
                <c:pt idx="15">
                  <c:v>2.0634020217241633</c:v>
                </c:pt>
                <c:pt idx="16">
                  <c:v>2.2107878804187466</c:v>
                </c:pt>
                <c:pt idx="17">
                  <c:v>2.3581737391133295</c:v>
                </c:pt>
                <c:pt idx="18">
                  <c:v>2.5055595978079124</c:v>
                </c:pt>
                <c:pt idx="19">
                  <c:v>2.6529454565024952</c:v>
                </c:pt>
                <c:pt idx="20">
                  <c:v>2.8003313151970781</c:v>
                </c:pt>
                <c:pt idx="21">
                  <c:v>2.947717173891661</c:v>
                </c:pt>
                <c:pt idx="22">
                  <c:v>12.061031075475835</c:v>
                </c:pt>
              </c:numCache>
            </c:numRef>
          </c:xVal>
          <c:yVal>
            <c:numRef>
              <c:f>'WR03-04'!$AD$15:$AD$48</c:f>
              <c:numCache>
                <c:formatCode>0.00</c:formatCode>
                <c:ptCount val="34"/>
                <c:pt idx="0">
                  <c:v>-0.1</c:v>
                </c:pt>
                <c:pt idx="1">
                  <c:v>0</c:v>
                </c:pt>
                <c:pt idx="2">
                  <c:v>5.9183756623236192</c:v>
                </c:pt>
                <c:pt idx="3">
                  <c:v>11.533244880425521</c:v>
                </c:pt>
                <c:pt idx="4">
                  <c:v>16.844607654305687</c:v>
                </c:pt>
                <c:pt idx="5">
                  <c:v>21.852463983964132</c:v>
                </c:pt>
                <c:pt idx="6">
                  <c:v>26.556813869400848</c:v>
                </c:pt>
                <c:pt idx="7">
                  <c:v>30.957657310615847</c:v>
                </c:pt>
                <c:pt idx="8">
                  <c:v>35.054994307609128</c:v>
                </c:pt>
                <c:pt idx="9">
                  <c:v>38.848824860380674</c:v>
                </c:pt>
                <c:pt idx="10">
                  <c:v>42.339148968930509</c:v>
                </c:pt>
                <c:pt idx="11">
                  <c:v>45.525966633258605</c:v>
                </c:pt>
                <c:pt idx="12">
                  <c:v>48.409277853364976</c:v>
                </c:pt>
                <c:pt idx="13">
                  <c:v>50.989082629249637</c:v>
                </c:pt>
                <c:pt idx="14">
                  <c:v>53.265380960912566</c:v>
                </c:pt>
                <c:pt idx="15">
                  <c:v>55.23817284835377</c:v>
                </c:pt>
                <c:pt idx="16">
                  <c:v>56.907458291573256</c:v>
                </c:pt>
                <c:pt idx="17">
                  <c:v>58.273237290571011</c:v>
                </c:pt>
                <c:pt idx="18">
                  <c:v>59.33550984534704</c:v>
                </c:pt>
                <c:pt idx="19">
                  <c:v>60.094275955901345</c:v>
                </c:pt>
                <c:pt idx="20">
                  <c:v>60.54953562223394</c:v>
                </c:pt>
                <c:pt idx="21">
                  <c:v>60.701288844344795</c:v>
                </c:pt>
                <c:pt idx="22">
                  <c:v>51.596095517693072</c:v>
                </c:pt>
              </c:numCache>
            </c:numRef>
          </c:yVal>
          <c:smooth val="1"/>
          <c:extLst>
            <c:ext xmlns:c16="http://schemas.microsoft.com/office/drawing/2014/chart" uri="{C3380CC4-5D6E-409C-BE32-E72D297353CC}">
              <c16:uniqueId val="{00000031-8DBE-4D73-A336-05B5F4E42EDF}"/>
            </c:ext>
          </c:extLst>
        </c:ser>
        <c:ser>
          <c:idx val="2"/>
          <c:order val="2"/>
          <c:tx>
            <c:v>CC - EC8 - [C]</c:v>
          </c:tx>
          <c:spPr>
            <a:ln w="19050" cap="rnd">
              <a:solidFill>
                <a:schemeClr val="accent3"/>
              </a:solidFill>
              <a:round/>
            </a:ln>
            <a:effectLst/>
          </c:spPr>
          <c:marker>
            <c:symbol val="none"/>
          </c:marker>
          <c:xVal>
            <c:numRef>
              <c:f>'WR03-04'!$AG$15:$AG$48</c:f>
              <c:numCache>
                <c:formatCode>0.00</c:formatCode>
                <c:ptCount val="34"/>
                <c:pt idx="0">
                  <c:v>-0.1</c:v>
                </c:pt>
                <c:pt idx="1">
                  <c:v>0</c:v>
                </c:pt>
                <c:pt idx="2">
                  <c:v>0.22310008571493337</c:v>
                </c:pt>
                <c:pt idx="3">
                  <c:v>0.44620017142986673</c:v>
                </c:pt>
                <c:pt idx="4">
                  <c:v>0.66930025714480013</c:v>
                </c:pt>
                <c:pt idx="5">
                  <c:v>0.89240034285973346</c:v>
                </c:pt>
                <c:pt idx="6">
                  <c:v>1.1155004285746668</c:v>
                </c:pt>
                <c:pt idx="7">
                  <c:v>1.3386005142896003</c:v>
                </c:pt>
                <c:pt idx="8">
                  <c:v>1.5617006000045337</c:v>
                </c:pt>
                <c:pt idx="9">
                  <c:v>1.7848006857194672</c:v>
                </c:pt>
                <c:pt idx="10">
                  <c:v>2.0079007714344006</c:v>
                </c:pt>
                <c:pt idx="11">
                  <c:v>2.231000857149334</c:v>
                </c:pt>
                <c:pt idx="12">
                  <c:v>2.4541009428642675</c:v>
                </c:pt>
                <c:pt idx="13">
                  <c:v>2.6772010285792009</c:v>
                </c:pt>
                <c:pt idx="14">
                  <c:v>2.9003011142941344</c:v>
                </c:pt>
                <c:pt idx="15">
                  <c:v>3.1234012000090678</c:v>
                </c:pt>
                <c:pt idx="16">
                  <c:v>3.3465012857240013</c:v>
                </c:pt>
                <c:pt idx="17">
                  <c:v>3.5696013714389347</c:v>
                </c:pt>
                <c:pt idx="18">
                  <c:v>3.7927014571538682</c:v>
                </c:pt>
                <c:pt idx="19">
                  <c:v>4.0158015428688012</c:v>
                </c:pt>
                <c:pt idx="20">
                  <c:v>4.2389016285837346</c:v>
                </c:pt>
                <c:pt idx="21">
                  <c:v>4.4620017142986681</c:v>
                </c:pt>
                <c:pt idx="22">
                  <c:v>21.174269575113819</c:v>
                </c:pt>
              </c:numCache>
            </c:numRef>
          </c:xVal>
          <c:yVal>
            <c:numRef>
              <c:f>'WR03-04'!$AI$15:$AI$48</c:f>
              <c:numCache>
                <c:formatCode>0.00</c:formatCode>
                <c:ptCount val="34"/>
                <c:pt idx="0">
                  <c:v>-0.1</c:v>
                </c:pt>
                <c:pt idx="1">
                  <c:v>0</c:v>
                </c:pt>
                <c:pt idx="2">
                  <c:v>7.9099078445097506</c:v>
                </c:pt>
                <c:pt idx="3">
                  <c:v>15.028131365043498</c:v>
                </c:pt>
                <c:pt idx="4">
                  <c:v>21.427411218027906</c:v>
                </c:pt>
                <c:pt idx="5">
                  <c:v>27.171841574277288</c:v>
                </c:pt>
                <c:pt idx="6">
                  <c:v>32.318117773197415</c:v>
                </c:pt>
                <c:pt idx="7">
                  <c:v>36.916573998823765</c:v>
                </c:pt>
                <c:pt idx="8">
                  <c:v>41.012051081603516</c:v>
                </c:pt>
                <c:pt idx="9">
                  <c:v>44.644626008634731</c:v>
                </c:pt>
                <c:pt idx="10">
                  <c:v>47.850228188068122</c:v>
                </c:pt>
                <c:pt idx="11">
                  <c:v>50.661162460142414</c:v>
                </c:pt>
                <c:pt idx="12">
                  <c:v>53.106554912860403</c:v>
                </c:pt>
                <c:pt idx="13">
                  <c:v>55.212734476013871</c:v>
                </c:pt>
                <c:pt idx="14">
                  <c:v>57.00356083379927</c:v>
                </c:pt>
                <c:pt idx="15">
                  <c:v>58.500707264535897</c:v>
                </c:pt>
                <c:pt idx="16">
                  <c:v>59.723905473632541</c:v>
                </c:pt>
                <c:pt idx="17">
                  <c:v>60.691158247658308</c:v>
                </c:pt>
                <c:pt idx="18">
                  <c:v>61.418924757976093</c:v>
                </c:pt>
                <c:pt idx="19">
                  <c:v>61.922282531759585</c:v>
                </c:pt>
                <c:pt idx="20">
                  <c:v>62.215069447538006</c:v>
                </c:pt>
                <c:pt idx="21">
                  <c:v>62.310008571493334</c:v>
                </c:pt>
                <c:pt idx="22">
                  <c:v>52.963507285769332</c:v>
                </c:pt>
              </c:numCache>
            </c:numRef>
          </c:yVal>
          <c:smooth val="1"/>
          <c:extLst xmlns:c15="http://schemas.microsoft.com/office/drawing/2012/chart">
            <c:ext xmlns:c16="http://schemas.microsoft.com/office/drawing/2014/chart" uri="{C3380CC4-5D6E-409C-BE32-E72D297353CC}">
              <c16:uniqueId val="{00000032-8DBE-4D73-A336-05B5F4E42EDF}"/>
            </c:ext>
          </c:extLst>
        </c:ser>
        <c:ser>
          <c:idx val="3"/>
          <c:order val="3"/>
          <c:tx>
            <c:v>UC - EC2 - [D]</c:v>
          </c:tx>
          <c:spPr>
            <a:ln w="19050" cap="rnd">
              <a:solidFill>
                <a:schemeClr val="accent4"/>
              </a:solidFill>
              <a:round/>
            </a:ln>
            <a:effectLst/>
          </c:spPr>
          <c:marker>
            <c:symbol val="none"/>
          </c:marker>
          <c:xVal>
            <c:numRef>
              <c:f>'WR03-04'!$AL$15:$AL$48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'WR03-04'!$AN$15:$AN$48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xmlns:c15="http://schemas.microsoft.com/office/drawing/2012/chart">
            <c:ext xmlns:c16="http://schemas.microsoft.com/office/drawing/2014/chart" uri="{C3380CC4-5D6E-409C-BE32-E72D297353CC}">
              <c16:uniqueId val="{00000033-8DBE-4D73-A336-05B5F4E42EDF}"/>
            </c:ext>
          </c:extLst>
        </c:ser>
        <c:ser>
          <c:idx val="4"/>
          <c:order val="4"/>
          <c:tx>
            <c:v>CC - EC2 - [D]</c:v>
          </c:tx>
          <c:spPr>
            <a:ln w="19050" cap="rnd">
              <a:solidFill>
                <a:schemeClr val="accent5"/>
              </a:solidFill>
              <a:round/>
            </a:ln>
            <a:effectLst/>
          </c:spPr>
          <c:marker>
            <c:symbol val="none"/>
          </c:marker>
          <c:xVal>
            <c:numRef>
              <c:f>'WR03-04'!$AB$15:$AB$48</c:f>
              <c:numCache>
                <c:formatCode>0.00</c:formatCode>
                <c:ptCount val="34"/>
                <c:pt idx="0">
                  <c:v>-0.1</c:v>
                </c:pt>
                <c:pt idx="1">
                  <c:v>0</c:v>
                </c:pt>
                <c:pt idx="2">
                  <c:v>0.14738585869458309</c:v>
                </c:pt>
                <c:pt idx="3">
                  <c:v>0.29477171738916619</c:v>
                </c:pt>
                <c:pt idx="4">
                  <c:v>0.44215757608374928</c:v>
                </c:pt>
                <c:pt idx="5">
                  <c:v>0.58954343477833238</c:v>
                </c:pt>
                <c:pt idx="6">
                  <c:v>0.73692929347291547</c:v>
                </c:pt>
                <c:pt idx="7">
                  <c:v>0.88431515216749856</c:v>
                </c:pt>
                <c:pt idx="8">
                  <c:v>1.0317010108620817</c:v>
                </c:pt>
                <c:pt idx="9">
                  <c:v>1.1790868695566648</c:v>
                </c:pt>
                <c:pt idx="10">
                  <c:v>1.3264727282512478</c:v>
                </c:pt>
                <c:pt idx="11">
                  <c:v>1.4738585869458309</c:v>
                </c:pt>
                <c:pt idx="12">
                  <c:v>1.621244445640414</c:v>
                </c:pt>
                <c:pt idx="13">
                  <c:v>1.7686303043349971</c:v>
                </c:pt>
                <c:pt idx="14">
                  <c:v>1.9160161630295802</c:v>
                </c:pt>
                <c:pt idx="15">
                  <c:v>2.0634020217241633</c:v>
                </c:pt>
                <c:pt idx="16">
                  <c:v>2.2107878804187466</c:v>
                </c:pt>
                <c:pt idx="17">
                  <c:v>2.3581737391133295</c:v>
                </c:pt>
                <c:pt idx="18">
                  <c:v>2.5055595978079124</c:v>
                </c:pt>
                <c:pt idx="19">
                  <c:v>2.6529454565024952</c:v>
                </c:pt>
                <c:pt idx="20">
                  <c:v>2.8003313151970781</c:v>
                </c:pt>
                <c:pt idx="21">
                  <c:v>2.947717173891661</c:v>
                </c:pt>
                <c:pt idx="22">
                  <c:v>12.061031075475835</c:v>
                </c:pt>
              </c:numCache>
            </c:numRef>
          </c:xVal>
          <c:yVal>
            <c:numRef>
              <c:f>'WR03-04'!$AE$15:$AE$48</c:f>
              <c:numCache>
                <c:formatCode>0.00</c:formatCode>
                <c:ptCount val="34"/>
                <c:pt idx="0">
                  <c:v>-0.1</c:v>
                </c:pt>
                <c:pt idx="1">
                  <c:v>0</c:v>
                </c:pt>
                <c:pt idx="2">
                  <c:v>3.3537462086500507</c:v>
                </c:pt>
                <c:pt idx="3">
                  <c:v>6.5355054322411279</c:v>
                </c:pt>
                <c:pt idx="4">
                  <c:v>9.5452776707732223</c:v>
                </c:pt>
                <c:pt idx="5">
                  <c:v>12.383062924246341</c:v>
                </c:pt>
                <c:pt idx="6">
                  <c:v>15.04886119266048</c:v>
                </c:pt>
                <c:pt idx="7">
                  <c:v>17.542672476015646</c:v>
                </c:pt>
                <c:pt idx="8">
                  <c:v>19.864496774311839</c:v>
                </c:pt>
                <c:pt idx="9">
                  <c:v>22.014334087549049</c:v>
                </c:pt>
                <c:pt idx="10">
                  <c:v>23.992184415727291</c:v>
                </c:pt>
                <c:pt idx="11">
                  <c:v>25.79804775884654</c:v>
                </c:pt>
                <c:pt idx="12">
                  <c:v>27.431924116906817</c:v>
                </c:pt>
                <c:pt idx="13">
                  <c:v>28.893813489908126</c:v>
                </c:pt>
                <c:pt idx="14">
                  <c:v>30.183715877850457</c:v>
                </c:pt>
                <c:pt idx="15">
                  <c:v>31.301631280733801</c:v>
                </c:pt>
                <c:pt idx="16">
                  <c:v>32.247559698558177</c:v>
                </c:pt>
                <c:pt idx="17">
                  <c:v>33.021501131323568</c:v>
                </c:pt>
                <c:pt idx="18">
                  <c:v>33.623455579029986</c:v>
                </c:pt>
                <c:pt idx="19">
                  <c:v>34.053423041677426</c:v>
                </c:pt>
                <c:pt idx="20">
                  <c:v>34.311403519265902</c:v>
                </c:pt>
                <c:pt idx="21">
                  <c:v>34.397397011795384</c:v>
                </c:pt>
                <c:pt idx="22">
                  <c:v>29.237787460026073</c:v>
                </c:pt>
              </c:numCache>
            </c:numRef>
          </c:yVal>
          <c:smooth val="1"/>
          <c:extLst xmlns:c15="http://schemas.microsoft.com/office/drawing/2012/chart">
            <c:ext xmlns:c16="http://schemas.microsoft.com/office/drawing/2014/chart" uri="{C3380CC4-5D6E-409C-BE32-E72D297353CC}">
              <c16:uniqueId val="{00000034-8DBE-4D73-A336-05B5F4E42EDF}"/>
            </c:ext>
          </c:extLst>
        </c:ser>
        <c:ser>
          <c:idx val="5"/>
          <c:order val="5"/>
          <c:tx>
            <c:v>CC - EC8 - [D]</c:v>
          </c:tx>
          <c:spPr>
            <a:ln w="19050" cap="rnd">
              <a:solidFill>
                <a:schemeClr val="accent6"/>
              </a:solidFill>
              <a:round/>
            </a:ln>
            <a:effectLst/>
          </c:spPr>
          <c:marker>
            <c:symbol val="none"/>
          </c:marker>
          <c:xVal>
            <c:numRef>
              <c:f>'WR03-04'!$AG$15:$AG$48</c:f>
              <c:numCache>
                <c:formatCode>0.00</c:formatCode>
                <c:ptCount val="34"/>
                <c:pt idx="0">
                  <c:v>-0.1</c:v>
                </c:pt>
                <c:pt idx="1">
                  <c:v>0</c:v>
                </c:pt>
                <c:pt idx="2">
                  <c:v>0.22310008571493337</c:v>
                </c:pt>
                <c:pt idx="3">
                  <c:v>0.44620017142986673</c:v>
                </c:pt>
                <c:pt idx="4">
                  <c:v>0.66930025714480013</c:v>
                </c:pt>
                <c:pt idx="5">
                  <c:v>0.89240034285973346</c:v>
                </c:pt>
                <c:pt idx="6">
                  <c:v>1.1155004285746668</c:v>
                </c:pt>
                <c:pt idx="7">
                  <c:v>1.3386005142896003</c:v>
                </c:pt>
                <c:pt idx="8">
                  <c:v>1.5617006000045337</c:v>
                </c:pt>
                <c:pt idx="9">
                  <c:v>1.7848006857194672</c:v>
                </c:pt>
                <c:pt idx="10">
                  <c:v>2.0079007714344006</c:v>
                </c:pt>
                <c:pt idx="11">
                  <c:v>2.231000857149334</c:v>
                </c:pt>
                <c:pt idx="12">
                  <c:v>2.4541009428642675</c:v>
                </c:pt>
                <c:pt idx="13">
                  <c:v>2.6772010285792009</c:v>
                </c:pt>
                <c:pt idx="14">
                  <c:v>2.9003011142941344</c:v>
                </c:pt>
                <c:pt idx="15">
                  <c:v>3.1234012000090678</c:v>
                </c:pt>
                <c:pt idx="16">
                  <c:v>3.3465012857240013</c:v>
                </c:pt>
                <c:pt idx="17">
                  <c:v>3.5696013714389347</c:v>
                </c:pt>
                <c:pt idx="18">
                  <c:v>3.7927014571538682</c:v>
                </c:pt>
                <c:pt idx="19">
                  <c:v>4.0158015428688012</c:v>
                </c:pt>
                <c:pt idx="20">
                  <c:v>4.2389016285837346</c:v>
                </c:pt>
                <c:pt idx="21">
                  <c:v>4.4620017142986681</c:v>
                </c:pt>
                <c:pt idx="22">
                  <c:v>21.174269575113819</c:v>
                </c:pt>
              </c:numCache>
            </c:numRef>
          </c:xVal>
          <c:yVal>
            <c:numRef>
              <c:f>'WR03-04'!$AJ$15:$AJ$48</c:f>
              <c:numCache>
                <c:formatCode>0.00</c:formatCode>
                <c:ptCount val="34"/>
                <c:pt idx="0">
                  <c:v>-0.1</c:v>
                </c:pt>
                <c:pt idx="1">
                  <c:v>0</c:v>
                </c:pt>
                <c:pt idx="2">
                  <c:v>4.4822811118888586</c:v>
                </c:pt>
                <c:pt idx="3">
                  <c:v>8.5159411068579818</c:v>
                </c:pt>
                <c:pt idx="4">
                  <c:v>12.142199690215813</c:v>
                </c:pt>
                <c:pt idx="5">
                  <c:v>15.397376892090463</c:v>
                </c:pt>
                <c:pt idx="6">
                  <c:v>18.313600071478536</c:v>
                </c:pt>
                <c:pt idx="7">
                  <c:v>20.919391932666802</c:v>
                </c:pt>
                <c:pt idx="8">
                  <c:v>23.240162279575326</c:v>
                </c:pt>
                <c:pt idx="9">
                  <c:v>25.298621404893012</c:v>
                </c:pt>
                <c:pt idx="10">
                  <c:v>27.115129306571934</c:v>
                </c:pt>
                <c:pt idx="11">
                  <c:v>28.707992060747369</c:v>
                </c:pt>
                <c:pt idx="12">
                  <c:v>30.093714450620894</c:v>
                </c:pt>
                <c:pt idx="13">
                  <c:v>31.287216203074525</c:v>
                </c:pt>
                <c:pt idx="14">
                  <c:v>32.302017805819581</c:v>
                </c:pt>
                <c:pt idx="15">
                  <c:v>33.150400783237011</c:v>
                </c:pt>
                <c:pt idx="16">
                  <c:v>33.843546435058435</c:v>
                </c:pt>
                <c:pt idx="17">
                  <c:v>34.391656340339708</c:v>
                </c:pt>
                <c:pt idx="18">
                  <c:v>34.804057362853122</c:v>
                </c:pt>
                <c:pt idx="19">
                  <c:v>35.089293434663766</c:v>
                </c:pt>
                <c:pt idx="20">
                  <c:v>35.255206020271537</c:v>
                </c:pt>
                <c:pt idx="21">
                  <c:v>35.309004857179552</c:v>
                </c:pt>
                <c:pt idx="22">
                  <c:v>30.01265412860262</c:v>
                </c:pt>
              </c:numCache>
            </c:numRef>
          </c:yVal>
          <c:smooth val="1"/>
          <c:extLst xmlns:c15="http://schemas.microsoft.com/office/drawing/2012/chart">
            <c:ext xmlns:c16="http://schemas.microsoft.com/office/drawing/2014/chart" uri="{C3380CC4-5D6E-409C-BE32-E72D297353CC}">
              <c16:uniqueId val="{00000035-8DBE-4D73-A336-05B5F4E42EDF}"/>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8DBE-4D73-A336-05B5F4E42EDF}"/>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37-8DBE-4D73-A336-05B5F4E42ED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8DBE-4D73-A336-05B5F4E42ED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8DBE-4D73-A336-05B5F4E42ED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8DBE-4D73-A336-05B5F4E42ED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8DBE-4D73-A336-05B5F4E42ED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8DBE-4D73-A336-05B5F4E42ED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8DBE-4D73-A336-05B5F4E42ED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8DBE-4D73-A336-05B5F4E42ED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8DBE-4D73-A336-05B5F4E42ED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8DBE-4D73-A336-05B5F4E42ED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8DBE-4D73-A336-05B5F4E42ED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8DBE-4D73-A336-05B5F4E42ED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8DBE-4D73-A336-05B5F4E42ED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8DBE-4D73-A336-05B5F4E42ED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8DBE-4D73-A336-05B5F4E42ED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8DBE-4D73-A336-05B5F4E42ED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8DBE-4D73-A336-05B5F4E42ED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8DBE-4D73-A336-05B5F4E42ED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8DBE-4D73-A336-05B5F4E42ED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8DBE-4D73-A336-05B5F4E42ED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8DBE-4D73-A336-05B5F4E42ED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8DBE-4D73-A336-05B5F4E42ED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'WR03-04'!$AY$15:$AY$47</c:f>
              <c:numCache>
                <c:formatCode>0.00</c:formatCode>
                <c:ptCount val="33"/>
                <c:pt idx="0">
                  <c:v>12.061031075475835</c:v>
                </c:pt>
                <c:pt idx="1">
                  <c:v>12.061031075475835</c:v>
                </c:pt>
                <c:pt idx="2">
                  <c:v>12.061031075475835</c:v>
                </c:pt>
                <c:pt idx="3">
                  <c:v>12.061031075475835</c:v>
                </c:pt>
                <c:pt idx="4">
                  <c:v>12.061031075475835</c:v>
                </c:pt>
                <c:pt idx="5">
                  <c:v>12.061031075475835</c:v>
                </c:pt>
                <c:pt idx="6">
                  <c:v>12.061031075475835</c:v>
                </c:pt>
                <c:pt idx="7">
                  <c:v>12.061031075475835</c:v>
                </c:pt>
                <c:pt idx="8">
                  <c:v>12.061031075475835</c:v>
                </c:pt>
                <c:pt idx="9">
                  <c:v>12.061031075475835</c:v>
                </c:pt>
                <c:pt idx="10">
                  <c:v>12.061031075475835</c:v>
                </c:pt>
                <c:pt idx="11">
                  <c:v>12.061031075475835</c:v>
                </c:pt>
                <c:pt idx="12">
                  <c:v>12.061031075475835</c:v>
                </c:pt>
                <c:pt idx="13">
                  <c:v>12.061031075475835</c:v>
                </c:pt>
                <c:pt idx="14">
                  <c:v>12.061031075475835</c:v>
                </c:pt>
                <c:pt idx="15">
                  <c:v>12.061031075475835</c:v>
                </c:pt>
                <c:pt idx="16">
                  <c:v>12.061031075475835</c:v>
                </c:pt>
                <c:pt idx="17">
                  <c:v>12.061031075475835</c:v>
                </c:pt>
                <c:pt idx="18">
                  <c:v>12.061031075475835</c:v>
                </c:pt>
                <c:pt idx="19">
                  <c:v>12.061031075475835</c:v>
                </c:pt>
                <c:pt idx="20">
                  <c:v>12.061031075475835</c:v>
                </c:pt>
                <c:pt idx="21">
                  <c:v>12.061031075475835</c:v>
                </c:pt>
                <c:pt idx="22">
                  <c:v>12.061031075475835</c:v>
                </c:pt>
              </c:numCache>
            </c:numRef>
          </c:xVal>
          <c:yVal>
            <c:numRef>
              <c:f>'WR03-04'!$AI$15:$AI$48</c:f>
              <c:numCache>
                <c:formatCode>0.00</c:formatCode>
                <c:ptCount val="34"/>
                <c:pt idx="0">
                  <c:v>-0.1</c:v>
                </c:pt>
                <c:pt idx="1">
                  <c:v>0</c:v>
                </c:pt>
                <c:pt idx="2">
                  <c:v>7.9099078445097506</c:v>
                </c:pt>
                <c:pt idx="3">
                  <c:v>15.028131365043498</c:v>
                </c:pt>
                <c:pt idx="4">
                  <c:v>21.427411218027906</c:v>
                </c:pt>
                <c:pt idx="5">
                  <c:v>27.171841574277288</c:v>
                </c:pt>
                <c:pt idx="6">
                  <c:v>32.318117773197415</c:v>
                </c:pt>
                <c:pt idx="7">
                  <c:v>36.916573998823765</c:v>
                </c:pt>
                <c:pt idx="8">
                  <c:v>41.012051081603516</c:v>
                </c:pt>
                <c:pt idx="9">
                  <c:v>44.644626008634731</c:v>
                </c:pt>
                <c:pt idx="10">
                  <c:v>47.850228188068122</c:v>
                </c:pt>
                <c:pt idx="11">
                  <c:v>50.661162460142414</c:v>
                </c:pt>
                <c:pt idx="12">
                  <c:v>53.106554912860403</c:v>
                </c:pt>
                <c:pt idx="13">
                  <c:v>55.212734476013871</c:v>
                </c:pt>
                <c:pt idx="14">
                  <c:v>57.00356083379927</c:v>
                </c:pt>
                <c:pt idx="15">
                  <c:v>58.500707264535897</c:v>
                </c:pt>
                <c:pt idx="16">
                  <c:v>59.723905473632541</c:v>
                </c:pt>
                <c:pt idx="17">
                  <c:v>60.691158247658308</c:v>
                </c:pt>
                <c:pt idx="18">
                  <c:v>61.418924757976093</c:v>
                </c:pt>
                <c:pt idx="19">
                  <c:v>61.922282531759585</c:v>
                </c:pt>
                <c:pt idx="20">
                  <c:v>62.215069447538006</c:v>
                </c:pt>
                <c:pt idx="21">
                  <c:v>62.310008571493334</c:v>
                </c:pt>
                <c:pt idx="22">
                  <c:v>52.963507285769332</c:v>
                </c:pt>
              </c:numCache>
            </c:numRef>
          </c:yVal>
          <c:smooth val="1"/>
          <c:extLst xmlns:c15="http://schemas.microsoft.com/office/drawing/2012/chart">
            <c:ext xmlns:c16="http://schemas.microsoft.com/office/drawing/2014/chart" uri="{C3380CC4-5D6E-409C-BE32-E72D297353CC}">
              <c16:uniqueId val="{0000004D-8DBE-4D73-A336-05B5F4E42EDF}"/>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8DBE-4D73-A336-05B5F4E42EDF}"/>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4F-8DBE-4D73-A336-05B5F4E42ED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8DBE-4D73-A336-05B5F4E42ED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8DBE-4D73-A336-05B5F4E42ED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8DBE-4D73-A336-05B5F4E42ED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8DBE-4D73-A336-05B5F4E42ED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8DBE-4D73-A336-05B5F4E42ED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8DBE-4D73-A336-05B5F4E42ED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8DBE-4D73-A336-05B5F4E42ED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8DBE-4D73-A336-05B5F4E42ED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8DBE-4D73-A336-05B5F4E42ED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8DBE-4D73-A336-05B5F4E42ED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8DBE-4D73-A336-05B5F4E42ED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B-8DBE-4D73-A336-05B5F4E42ED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8DBE-4D73-A336-05B5F4E42ED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8DBE-4D73-A336-05B5F4E42ED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8DBE-4D73-A336-05B5F4E42ED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8DBE-4D73-A336-05B5F4E42ED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8DBE-4D73-A336-05B5F4E42ED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8DBE-4D73-A336-05B5F4E42ED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8DBE-4D73-A336-05B5F4E42ED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8DBE-4D73-A336-05B5F4E42ED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8DBE-4D73-A336-05B5F4E42ED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'WR03-04'!$AZ$15:$AZ$47</c:f>
              <c:numCache>
                <c:formatCode>0.00</c:formatCode>
                <c:ptCount val="33"/>
                <c:pt idx="0">
                  <c:v>21.174269575113819</c:v>
                </c:pt>
                <c:pt idx="1">
                  <c:v>21.174269575113819</c:v>
                </c:pt>
                <c:pt idx="2">
                  <c:v>21.174269575113819</c:v>
                </c:pt>
                <c:pt idx="3">
                  <c:v>21.174269575113819</c:v>
                </c:pt>
                <c:pt idx="4">
                  <c:v>21.174269575113819</c:v>
                </c:pt>
                <c:pt idx="5">
                  <c:v>21.174269575113819</c:v>
                </c:pt>
                <c:pt idx="6">
                  <c:v>21.174269575113819</c:v>
                </c:pt>
                <c:pt idx="7">
                  <c:v>21.174269575113819</c:v>
                </c:pt>
                <c:pt idx="8">
                  <c:v>21.174269575113819</c:v>
                </c:pt>
                <c:pt idx="9">
                  <c:v>21.174269575113819</c:v>
                </c:pt>
                <c:pt idx="10">
                  <c:v>21.174269575113819</c:v>
                </c:pt>
                <c:pt idx="11">
                  <c:v>21.174269575113819</c:v>
                </c:pt>
                <c:pt idx="12">
                  <c:v>21.174269575113819</c:v>
                </c:pt>
                <c:pt idx="13">
                  <c:v>21.174269575113819</c:v>
                </c:pt>
                <c:pt idx="14">
                  <c:v>21.174269575113819</c:v>
                </c:pt>
                <c:pt idx="15">
                  <c:v>21.174269575113819</c:v>
                </c:pt>
                <c:pt idx="16">
                  <c:v>21.174269575113819</c:v>
                </c:pt>
                <c:pt idx="17">
                  <c:v>21.174269575113819</c:v>
                </c:pt>
                <c:pt idx="18">
                  <c:v>21.174269575113819</c:v>
                </c:pt>
                <c:pt idx="19">
                  <c:v>21.174269575113819</c:v>
                </c:pt>
                <c:pt idx="20">
                  <c:v>21.174269575113819</c:v>
                </c:pt>
                <c:pt idx="21">
                  <c:v>21.174269575113819</c:v>
                </c:pt>
                <c:pt idx="22">
                  <c:v>21.174269575113819</c:v>
                </c:pt>
              </c:numCache>
            </c:numRef>
          </c:xVal>
          <c:yVal>
            <c:numRef>
              <c:f>'WR03-04'!$AI$15:$AI$48</c:f>
              <c:numCache>
                <c:formatCode>0.00</c:formatCode>
                <c:ptCount val="34"/>
                <c:pt idx="0">
                  <c:v>-0.1</c:v>
                </c:pt>
                <c:pt idx="1">
                  <c:v>0</c:v>
                </c:pt>
                <c:pt idx="2">
                  <c:v>7.9099078445097506</c:v>
                </c:pt>
                <c:pt idx="3">
                  <c:v>15.028131365043498</c:v>
                </c:pt>
                <c:pt idx="4">
                  <c:v>21.427411218027906</c:v>
                </c:pt>
                <c:pt idx="5">
                  <c:v>27.171841574277288</c:v>
                </c:pt>
                <c:pt idx="6">
                  <c:v>32.318117773197415</c:v>
                </c:pt>
                <c:pt idx="7">
                  <c:v>36.916573998823765</c:v>
                </c:pt>
                <c:pt idx="8">
                  <c:v>41.012051081603516</c:v>
                </c:pt>
                <c:pt idx="9">
                  <c:v>44.644626008634731</c:v>
                </c:pt>
                <c:pt idx="10">
                  <c:v>47.850228188068122</c:v>
                </c:pt>
                <c:pt idx="11">
                  <c:v>50.661162460142414</c:v>
                </c:pt>
                <c:pt idx="12">
                  <c:v>53.106554912860403</c:v>
                </c:pt>
                <c:pt idx="13">
                  <c:v>55.212734476013871</c:v>
                </c:pt>
                <c:pt idx="14">
                  <c:v>57.00356083379927</c:v>
                </c:pt>
                <c:pt idx="15">
                  <c:v>58.500707264535897</c:v>
                </c:pt>
                <c:pt idx="16">
                  <c:v>59.723905473632541</c:v>
                </c:pt>
                <c:pt idx="17">
                  <c:v>60.691158247658308</c:v>
                </c:pt>
                <c:pt idx="18">
                  <c:v>61.418924757976093</c:v>
                </c:pt>
                <c:pt idx="19">
                  <c:v>61.922282531759585</c:v>
                </c:pt>
                <c:pt idx="20">
                  <c:v>62.215069447538006</c:v>
                </c:pt>
                <c:pt idx="21">
                  <c:v>62.310008571493334</c:v>
                </c:pt>
                <c:pt idx="22">
                  <c:v>52.963507285769332</c:v>
                </c:pt>
              </c:numCache>
            </c:numRef>
          </c:yVal>
          <c:smooth val="1"/>
          <c:extLst xmlns:c15="http://schemas.microsoft.com/office/drawing/2012/chart">
            <c:ext xmlns:c16="http://schemas.microsoft.com/office/drawing/2014/chart" uri="{C3380CC4-5D6E-409C-BE32-E72D297353CC}">
              <c16:uniqueId val="{00000065-8DBE-4D73-A336-05B5F4E42EDF}"/>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'WR03-04'!$AP$24:$AP$28</c:f>
              <c:numCache>
                <c:formatCode>0.00</c:formatCode>
                <c:ptCount val="5"/>
                <c:pt idx="0">
                  <c:v>-45</c:v>
                </c:pt>
                <c:pt idx="1">
                  <c:v>-2.1739130434782608</c:v>
                </c:pt>
                <c:pt idx="2">
                  <c:v>0</c:v>
                </c:pt>
                <c:pt idx="3">
                  <c:v>2.1739130434782608</c:v>
                </c:pt>
                <c:pt idx="4">
                  <c:v>45</c:v>
                </c:pt>
              </c:numCache>
            </c:numRef>
          </c:xVal>
          <c:yVal>
            <c:numRef>
              <c:f>'WR03-04'!$AQ$24:$AQ$28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E6C4-41C1-946A-68F9B9A2EE90}"/>
            </c:ext>
          </c:extLst>
        </c:ser>
        <c:ser>
          <c:idx val="1"/>
          <c:order val="1"/>
          <c:tx>
            <c:v>RFT - Without Hardening [C]</c:v>
          </c:tx>
          <c:spPr>
            <a:ln w="19050" cap="rnd">
              <a:solidFill>
                <a:schemeClr val="accent2"/>
              </a:solidFill>
              <a:round/>
            </a:ln>
            <a:effectLst/>
          </c:spPr>
          <c:marker>
            <c:symbol val="none"/>
          </c:marker>
          <c:xVal>
            <c:numRef>
              <c:f>'WR03-04'!$AP$15:$AP$19</c:f>
              <c:numCache>
                <c:formatCode>0.00</c:formatCode>
                <c:ptCount val="5"/>
                <c:pt idx="0">
                  <c:v>-45</c:v>
                </c:pt>
                <c:pt idx="1">
                  <c:v>-2.5</c:v>
                </c:pt>
                <c:pt idx="2">
                  <c:v>0</c:v>
                </c:pt>
                <c:pt idx="3">
                  <c:v>2.5</c:v>
                </c:pt>
                <c:pt idx="4">
                  <c:v>45</c:v>
                </c:pt>
              </c:numCache>
            </c:numRef>
          </c:xVal>
          <c:yVal>
            <c:numRef>
              <c:f>'WR03-04'!$AQ$15:$AQ$19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1-E6C4-41C1-946A-68F9B9A2EE90}"/>
            </c:ext>
          </c:extLst>
        </c:ser>
        <c:ser>
          <c:idx val="2"/>
          <c:order val="2"/>
          <c:tx>
            <c:v>RFT - With Hardening [D]</c:v>
          </c:tx>
          <c:spPr>
            <a:ln w="19050" cap="rnd">
              <a:solidFill>
                <a:schemeClr val="accent3"/>
              </a:solidFill>
              <a:round/>
            </a:ln>
            <a:effectLst/>
          </c:spPr>
          <c:marker>
            <c:symbol val="none"/>
          </c:marker>
          <c:xVal>
            <c:numRef>
              <c:f>'WR03-04'!$AS$24:$AS$28</c:f>
              <c:numCache>
                <c:formatCode>0.00</c:formatCode>
                <c:ptCount val="5"/>
                <c:pt idx="0">
                  <c:v>-45</c:v>
                </c:pt>
                <c:pt idx="1">
                  <c:v>-2.1739130434782612</c:v>
                </c:pt>
                <c:pt idx="2">
                  <c:v>0</c:v>
                </c:pt>
                <c:pt idx="3">
                  <c:v>2.1739130434782612</c:v>
                </c:pt>
                <c:pt idx="4">
                  <c:v>45</c:v>
                </c:pt>
              </c:numCache>
            </c:numRef>
          </c:xVal>
          <c:yVal>
            <c:numRef>
              <c:f>'WR03-04'!$AT$24:$AT$28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E6C4-41C1-946A-68F9B9A2EE90}"/>
            </c:ext>
          </c:extLst>
        </c:ser>
        <c:ser>
          <c:idx val="3"/>
          <c:order val="3"/>
          <c:tx>
            <c:v>RFT - With Hardening [C]</c:v>
          </c:tx>
          <c:spPr>
            <a:ln w="19050" cap="rnd">
              <a:solidFill>
                <a:schemeClr val="accent4"/>
              </a:solidFill>
              <a:round/>
            </a:ln>
            <a:effectLst/>
          </c:spPr>
          <c:marker>
            <c:symbol val="none"/>
          </c:marker>
          <c:xVal>
            <c:numRef>
              <c:f>'WR03-04'!$AS$15:$AS$19</c:f>
              <c:numCache>
                <c:formatCode>0.00</c:formatCode>
                <c:ptCount val="5"/>
                <c:pt idx="0">
                  <c:v>-45</c:v>
                </c:pt>
                <c:pt idx="1">
                  <c:v>-2.5</c:v>
                </c:pt>
                <c:pt idx="2">
                  <c:v>0</c:v>
                </c:pt>
                <c:pt idx="3">
                  <c:v>2.5</c:v>
                </c:pt>
                <c:pt idx="4">
                  <c:v>45</c:v>
                </c:pt>
              </c:numCache>
            </c:numRef>
          </c:xVal>
          <c:yVal>
            <c:numRef>
              <c:f>'WR03-04'!$AT$15:$AT$19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3-E6C4-41C1-946A-68F9B9A2EE90}"/>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C8AA-4E18-900D-29D730DB0CD9}"/>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C8AA-4E18-900D-29D730DB0CD9}"/>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C8AA-4E18-900D-29D730DB0CD9}"/>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C8AA-4E18-900D-29D730DB0CD9}"/>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C8AA-4E18-900D-29D730DB0CD9}"/>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C8AA-4E18-900D-29D730DB0CD9}"/>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C8AA-4E18-900D-29D730DB0CD9}"/>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C8AA-4E18-900D-29D730DB0CD9}"/>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C8AA-4E18-900D-29D730DB0CD9}"/>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C8AA-4E18-900D-29D730DB0CD9}"/>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C8AA-4E18-900D-29D730DB0CD9}"/>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C8AA-4E18-900D-29D730DB0CD9}"/>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C8AA-4E18-900D-29D730DB0CD9}"/>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C8AA-4E18-900D-29D730DB0CD9}"/>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C8AA-4E18-900D-29D730DB0CD9}"/>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C8AA-4E18-900D-29D730DB0CD9}"/>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C8AA-4E18-900D-29D730DB0CD9}"/>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C8AA-4E18-900D-29D730DB0CD9}"/>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C8AA-4E18-900D-29D730DB0CD9}"/>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C8AA-4E18-900D-29D730DB0CD9}"/>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C8AA-4E18-900D-29D730DB0CD9}"/>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C8AA-4E18-900D-29D730DB0CD9}"/>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C8AA-4E18-900D-29D730DB0CD9}"/>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'WR3-05'!$AV$15:$AV$47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numRef>
          </c:xVal>
          <c:yVal>
            <c:numRef>
              <c:f>'WR3-05'!$AI$15:$AI$48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0"/>
          <c:extLst xmlns:c15="http://schemas.microsoft.com/office/drawing/2012/chart">
            <c:ext xmlns:c16="http://schemas.microsoft.com/office/drawing/2014/chart" uri="{C3380CC4-5D6E-409C-BE32-E72D297353CC}">
              <c16:uniqueId val="{00000017-C8AA-4E18-900D-29D730DB0CD9}"/>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C8AA-4E18-900D-29D730DB0CD9}"/>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9-C8AA-4E18-900D-29D730DB0CD9}"/>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C8AA-4E18-900D-29D730DB0CD9}"/>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C8AA-4E18-900D-29D730DB0CD9}"/>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C8AA-4E18-900D-29D730DB0CD9}"/>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C8AA-4E18-900D-29D730DB0CD9}"/>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C8AA-4E18-900D-29D730DB0CD9}"/>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C8AA-4E18-900D-29D730DB0CD9}"/>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C8AA-4E18-900D-29D730DB0CD9}"/>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C8AA-4E18-900D-29D730DB0CD9}"/>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C8AA-4E18-900D-29D730DB0CD9}"/>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C8AA-4E18-900D-29D730DB0CD9}"/>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C8AA-4E18-900D-29D730DB0CD9}"/>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C8AA-4E18-900D-29D730DB0CD9}"/>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C8AA-4E18-900D-29D730DB0CD9}"/>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C8AA-4E18-900D-29D730DB0CD9}"/>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C8AA-4E18-900D-29D730DB0CD9}"/>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C8AA-4E18-900D-29D730DB0CD9}"/>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C8AA-4E18-900D-29D730DB0CD9}"/>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C8AA-4E18-900D-29D730DB0CD9}"/>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C8AA-4E18-900D-29D730DB0CD9}"/>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C8AA-4E18-900D-29D730DB0CD9}"/>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E-C8AA-4E18-900D-29D730DB0CD9}"/>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'WR3-05'!$AX$15:$AX$47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numRef>
          </c:xVal>
          <c:yVal>
            <c:numRef>
              <c:f>'WR3-05'!$AI$15:$AI$48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0"/>
          <c:extLst xmlns:c15="http://schemas.microsoft.com/office/drawing/2012/chart">
            <c:ext xmlns:c16="http://schemas.microsoft.com/office/drawing/2014/chart" uri="{C3380CC4-5D6E-409C-BE32-E72D297353CC}">
              <c16:uniqueId val="{0000002F-C8AA-4E18-900D-29D730DB0CD9}"/>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'WR3-05'!$AL$15:$AL$48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'WR3-05'!$AM$15:$AM$48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numRef>
          </c:yVal>
          <c:smooth val="1"/>
          <c:extLst xmlns:c15="http://schemas.microsoft.com/office/drawing/2012/chart">
            <c:ext xmlns:c16="http://schemas.microsoft.com/office/drawing/2014/chart" uri="{C3380CC4-5D6E-409C-BE32-E72D297353CC}">
              <c16:uniqueId val="{00000030-C8AA-4E18-900D-29D730DB0CD9}"/>
            </c:ext>
          </c:extLst>
        </c:ser>
        <c:ser>
          <c:idx val="1"/>
          <c:order val="1"/>
          <c:tx>
            <c:v>CC - EC2 - [C]</c:v>
          </c:tx>
          <c:spPr>
            <a:ln w="19050" cap="rnd">
              <a:solidFill>
                <a:schemeClr val="accent2"/>
              </a:solidFill>
              <a:round/>
            </a:ln>
            <a:effectLst/>
          </c:spPr>
          <c:marker>
            <c:symbol val="none"/>
          </c:marker>
          <c:xVal>
            <c:numRef>
              <c:f>'WR3-05'!$AB$15:$AB$48</c:f>
              <c:numCache>
                <c:formatCode>0.00</c:formatCode>
                <c:ptCount val="34"/>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'WR3-05'!$AD$15:$AD$48</c:f>
              <c:numCache>
                <c:formatCode>0.00</c:formatCode>
                <c:ptCount val="34"/>
                <c:pt idx="0">
                  <c:v>-0.1</c:v>
                </c:pt>
                <c:pt idx="1">
                  <c:v>0</c:v>
                </c:pt>
                <c:pt idx="2">
                  <c:v>5.6260112035289103</c:v>
                </c:pt>
                <c:pt idx="3">
                  <c:v>10.96350901200505</c:v>
                </c:pt>
                <c:pt idx="4">
                  <c:v>16.012493425428435</c:v>
                </c:pt>
                <c:pt idx="5">
                  <c:v>20.772964443799051</c:v>
                </c:pt>
                <c:pt idx="6">
                  <c:v>25.244922067116896</c:v>
                </c:pt>
                <c:pt idx="7">
                  <c:v>29.428366295381984</c:v>
                </c:pt>
                <c:pt idx="8">
                  <c:v>33.323297128594312</c:v>
                </c:pt>
                <c:pt idx="9">
                  <c:v>36.929714566753859</c:v>
                </c:pt>
                <c:pt idx="10">
                  <c:v>40.247618609860652</c:v>
                </c:pt>
                <c:pt idx="11">
                  <c:v>43.277009257914678</c:v>
                </c:pt>
                <c:pt idx="12">
                  <c:v>46.01788651091595</c:v>
                </c:pt>
                <c:pt idx="13">
                  <c:v>48.470250368864441</c:v>
                </c:pt>
                <c:pt idx="14">
                  <c:v>50.634100831760179</c:v>
                </c:pt>
                <c:pt idx="15">
                  <c:v>52.509437899603142</c:v>
                </c:pt>
                <c:pt idx="16">
                  <c:v>54.096261572393352</c:v>
                </c:pt>
                <c:pt idx="17">
                  <c:v>55.394571850130788</c:v>
                </c:pt>
                <c:pt idx="18">
                  <c:v>56.40436873281547</c:v>
                </c:pt>
                <c:pt idx="19">
                  <c:v>57.125652220447378</c:v>
                </c:pt>
                <c:pt idx="20">
                  <c:v>57.558422313026519</c:v>
                </c:pt>
                <c:pt idx="21">
                  <c:v>57.702679010552906</c:v>
                </c:pt>
                <c:pt idx="22">
                  <c:v>49.047277158969969</c:v>
                </c:pt>
              </c:numCache>
            </c:numRef>
          </c:yVal>
          <c:smooth val="1"/>
          <c:extLst>
            <c:ext xmlns:c16="http://schemas.microsoft.com/office/drawing/2014/chart" uri="{C3380CC4-5D6E-409C-BE32-E72D297353CC}">
              <c16:uniqueId val="{00000031-C8AA-4E18-900D-29D730DB0CD9}"/>
            </c:ext>
          </c:extLst>
        </c:ser>
        <c:ser>
          <c:idx val="2"/>
          <c:order val="2"/>
          <c:tx>
            <c:v>CC - EC8 - [C]</c:v>
          </c:tx>
          <c:spPr>
            <a:ln w="19050" cap="rnd">
              <a:solidFill>
                <a:schemeClr val="accent3"/>
              </a:solidFill>
              <a:round/>
            </a:ln>
            <a:effectLst/>
          </c:spPr>
          <c:marker>
            <c:symbol val="none"/>
          </c:marker>
          <c:xVal>
            <c:numRef>
              <c:f>'WR3-05'!$AG$15:$AG$48</c:f>
              <c:numCache>
                <c:formatCode>0.00</c:formatCode>
                <c:ptCount val="34"/>
                <c:pt idx="0">
                  <c:v>-0.1</c:v>
                </c:pt>
                <c:pt idx="1">
                  <c:v>0</c:v>
                </c:pt>
                <c:pt idx="2">
                  <c:v>0.19278019245676317</c:v>
                </c:pt>
                <c:pt idx="3">
                  <c:v>0.38556038491352634</c:v>
                </c:pt>
                <c:pt idx="4">
                  <c:v>0.57834057737028954</c:v>
                </c:pt>
                <c:pt idx="5">
                  <c:v>0.77112076982705269</c:v>
                </c:pt>
                <c:pt idx="6">
                  <c:v>0.96390096228381583</c:v>
                </c:pt>
                <c:pt idx="7">
                  <c:v>1.1566811547405791</c:v>
                </c:pt>
                <c:pt idx="8">
                  <c:v>1.3494613471973422</c:v>
                </c:pt>
                <c:pt idx="9">
                  <c:v>1.5422415396541054</c:v>
                </c:pt>
                <c:pt idx="10">
                  <c:v>1.7350217321108685</c:v>
                </c:pt>
                <c:pt idx="11">
                  <c:v>1.9278019245676317</c:v>
                </c:pt>
                <c:pt idx="12">
                  <c:v>2.1205821170243948</c:v>
                </c:pt>
                <c:pt idx="13">
                  <c:v>2.3133623094811582</c:v>
                </c:pt>
                <c:pt idx="14">
                  <c:v>2.5061425019379215</c:v>
                </c:pt>
                <c:pt idx="15">
                  <c:v>2.6989226943946849</c:v>
                </c:pt>
                <c:pt idx="16">
                  <c:v>2.8917028868514483</c:v>
                </c:pt>
                <c:pt idx="17">
                  <c:v>3.0844830793082116</c:v>
                </c:pt>
                <c:pt idx="18">
                  <c:v>3.277263271764975</c:v>
                </c:pt>
                <c:pt idx="19">
                  <c:v>3.4700434642217384</c:v>
                </c:pt>
                <c:pt idx="20">
                  <c:v>3.6628236566785017</c:v>
                </c:pt>
                <c:pt idx="21">
                  <c:v>3.8556038491352651</c:v>
                </c:pt>
                <c:pt idx="22">
                  <c:v>16.994157207968332</c:v>
                </c:pt>
              </c:numCache>
            </c:numRef>
          </c:xVal>
          <c:yVal>
            <c:numRef>
              <c:f>'WR3-05'!$AI$15:$AI$48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32-C8AA-4E18-900D-29D730DB0CD9}"/>
            </c:ext>
          </c:extLst>
        </c:ser>
        <c:ser>
          <c:idx val="3"/>
          <c:order val="3"/>
          <c:tx>
            <c:v>UC - EC2 - [D]</c:v>
          </c:tx>
          <c:spPr>
            <a:ln w="19050" cap="rnd">
              <a:solidFill>
                <a:schemeClr val="accent4"/>
              </a:solidFill>
              <a:round/>
            </a:ln>
            <a:effectLst/>
          </c:spPr>
          <c:marker>
            <c:symbol val="none"/>
          </c:marker>
          <c:xVal>
            <c:numRef>
              <c:f>'WR3-05'!$AL$15:$AL$48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'WR3-05'!$AN$15:$AN$48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xmlns:c15="http://schemas.microsoft.com/office/drawing/2012/chart">
            <c:ext xmlns:c16="http://schemas.microsoft.com/office/drawing/2014/chart" uri="{C3380CC4-5D6E-409C-BE32-E72D297353CC}">
              <c16:uniqueId val="{00000033-C8AA-4E18-900D-29D730DB0CD9}"/>
            </c:ext>
          </c:extLst>
        </c:ser>
        <c:ser>
          <c:idx val="4"/>
          <c:order val="4"/>
          <c:tx>
            <c:v>CC - EC2 - [D]</c:v>
          </c:tx>
          <c:spPr>
            <a:ln w="19050" cap="rnd">
              <a:solidFill>
                <a:schemeClr val="accent5"/>
              </a:solidFill>
              <a:round/>
            </a:ln>
            <a:effectLst/>
          </c:spPr>
          <c:marker>
            <c:symbol val="none"/>
          </c:marker>
          <c:xVal>
            <c:numRef>
              <c:f>'WR3-05'!$AB$15:$AB$48</c:f>
              <c:numCache>
                <c:formatCode>0.00</c:formatCode>
                <c:ptCount val="34"/>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'WR3-05'!$AE$15:$AE$48</c:f>
              <c:numCache>
                <c:formatCode>0.00</c:formatCode>
                <c:ptCount val="34"/>
                <c:pt idx="0">
                  <c:v>-0.1</c:v>
                </c:pt>
                <c:pt idx="1">
                  <c:v>0</c:v>
                </c:pt>
                <c:pt idx="2">
                  <c:v>3.1880730153330492</c:v>
                </c:pt>
                <c:pt idx="3">
                  <c:v>6.2126551068028606</c:v>
                </c:pt>
                <c:pt idx="4">
                  <c:v>9.0737462744094461</c:v>
                </c:pt>
                <c:pt idx="5">
                  <c:v>11.771346518152795</c:v>
                </c:pt>
                <c:pt idx="6">
                  <c:v>14.305455838032907</c:v>
                </c:pt>
                <c:pt idx="7">
                  <c:v>16.676074234049789</c:v>
                </c:pt>
                <c:pt idx="8">
                  <c:v>18.883201706203444</c:v>
                </c:pt>
                <c:pt idx="9">
                  <c:v>20.926838254493852</c:v>
                </c:pt>
                <c:pt idx="10">
                  <c:v>22.806983878921034</c:v>
                </c:pt>
                <c:pt idx="11">
                  <c:v>24.523638579484984</c:v>
                </c:pt>
                <c:pt idx="12">
                  <c:v>26.076802356185706</c:v>
                </c:pt>
                <c:pt idx="13">
                  <c:v>27.466475209023184</c:v>
                </c:pt>
                <c:pt idx="14">
                  <c:v>28.692657137997433</c:v>
                </c:pt>
                <c:pt idx="15">
                  <c:v>29.755348143108446</c:v>
                </c:pt>
                <c:pt idx="16">
                  <c:v>30.654548224356233</c:v>
                </c:pt>
                <c:pt idx="17">
                  <c:v>31.390257381740781</c:v>
                </c:pt>
                <c:pt idx="18">
                  <c:v>31.962475615262097</c:v>
                </c:pt>
                <c:pt idx="19">
                  <c:v>32.371202924920176</c:v>
                </c:pt>
                <c:pt idx="20">
                  <c:v>32.61643931071503</c:v>
                </c:pt>
                <c:pt idx="21">
                  <c:v>32.698184772646648</c:v>
                </c:pt>
                <c:pt idx="22">
                  <c:v>27.793457056749649</c:v>
                </c:pt>
              </c:numCache>
            </c:numRef>
          </c:yVal>
          <c:smooth val="1"/>
          <c:extLst xmlns:c15="http://schemas.microsoft.com/office/drawing/2012/chart">
            <c:ext xmlns:c16="http://schemas.microsoft.com/office/drawing/2014/chart" uri="{C3380CC4-5D6E-409C-BE32-E72D297353CC}">
              <c16:uniqueId val="{00000034-C8AA-4E18-900D-29D730DB0CD9}"/>
            </c:ext>
          </c:extLst>
        </c:ser>
        <c:ser>
          <c:idx val="5"/>
          <c:order val="5"/>
          <c:tx>
            <c:v>CC - EC8 - [D]</c:v>
          </c:tx>
          <c:spPr>
            <a:ln w="19050" cap="rnd">
              <a:solidFill>
                <a:schemeClr val="accent6"/>
              </a:solidFill>
              <a:round/>
            </a:ln>
            <a:effectLst/>
          </c:spPr>
          <c:marker>
            <c:symbol val="none"/>
          </c:marker>
          <c:xVal>
            <c:numRef>
              <c:f>'WR3-05'!$AG$15:$AG$48</c:f>
              <c:numCache>
                <c:formatCode>0.00</c:formatCode>
                <c:ptCount val="34"/>
                <c:pt idx="0">
                  <c:v>-0.1</c:v>
                </c:pt>
                <c:pt idx="1">
                  <c:v>0</c:v>
                </c:pt>
                <c:pt idx="2">
                  <c:v>0.19278019245676317</c:v>
                </c:pt>
                <c:pt idx="3">
                  <c:v>0.38556038491352634</c:v>
                </c:pt>
                <c:pt idx="4">
                  <c:v>0.57834057737028954</c:v>
                </c:pt>
                <c:pt idx="5">
                  <c:v>0.77112076982705269</c:v>
                </c:pt>
                <c:pt idx="6">
                  <c:v>0.96390096228381583</c:v>
                </c:pt>
                <c:pt idx="7">
                  <c:v>1.1566811547405791</c:v>
                </c:pt>
                <c:pt idx="8">
                  <c:v>1.3494613471973422</c:v>
                </c:pt>
                <c:pt idx="9">
                  <c:v>1.5422415396541054</c:v>
                </c:pt>
                <c:pt idx="10">
                  <c:v>1.7350217321108685</c:v>
                </c:pt>
                <c:pt idx="11">
                  <c:v>1.9278019245676317</c:v>
                </c:pt>
                <c:pt idx="12">
                  <c:v>2.1205821170243948</c:v>
                </c:pt>
                <c:pt idx="13">
                  <c:v>2.3133623094811582</c:v>
                </c:pt>
                <c:pt idx="14">
                  <c:v>2.5061425019379215</c:v>
                </c:pt>
                <c:pt idx="15">
                  <c:v>2.6989226943946849</c:v>
                </c:pt>
                <c:pt idx="16">
                  <c:v>2.8917028868514483</c:v>
                </c:pt>
                <c:pt idx="17">
                  <c:v>3.0844830793082116</c:v>
                </c:pt>
                <c:pt idx="18">
                  <c:v>3.277263271764975</c:v>
                </c:pt>
                <c:pt idx="19">
                  <c:v>3.4700434642217384</c:v>
                </c:pt>
                <c:pt idx="20">
                  <c:v>3.6628236566785017</c:v>
                </c:pt>
                <c:pt idx="21">
                  <c:v>3.8556038491352651</c:v>
                </c:pt>
                <c:pt idx="22">
                  <c:v>16.994157207968332</c:v>
                </c:pt>
              </c:numCache>
            </c:numRef>
          </c:xVal>
          <c:yVal>
            <c:numRef>
              <c:f>'WR3-05'!$AJ$15:$AJ$48</c:f>
              <c:numCache>
                <c:formatCode>0.00</c:formatCode>
                <c:ptCount val="34"/>
                <c:pt idx="0">
                  <c:v>-0.1</c:v>
                </c:pt>
                <c:pt idx="1">
                  <c:v>0</c:v>
                </c:pt>
                <c:pt idx="2">
                  <c:v>3.9120874126622325</c:v>
                </c:pt>
                <c:pt idx="3">
                  <c:v>7.5021193297512587</c:v>
                </c:pt>
                <c:pt idx="4">
                  <c:v>10.789577584941327</c:v>
                </c:pt>
                <c:pt idx="5">
                  <c:v>13.792403739030604</c:v>
                </c:pt>
                <c:pt idx="6">
                  <c:v>16.52714835085834</c:v>
                </c:pt>
                <c:pt idx="7">
                  <c:v>19.009103218919808</c:v>
                </c:pt>
                <c:pt idx="8">
                  <c:v>21.252418817937492</c:v>
                </c:pt>
                <c:pt idx="9">
                  <c:v>23.270208828707094</c:v>
                </c:pt>
                <c:pt idx="10">
                  <c:v>25.074643386364873</c:v>
                </c:pt>
                <c:pt idx="11">
                  <c:v>26.677032442491939</c:v>
                </c:pt>
                <c:pt idx="12">
                  <c:v>28.087900442640862</c:v>
                </c:pt>
                <c:pt idx="13">
                  <c:v>29.317053356811893</c:v>
                </c:pt>
                <c:pt idx="14">
                  <c:v>30.373638961124698</c:v>
                </c:pt>
                <c:pt idx="15">
                  <c:v>31.266201150338034</c:v>
                </c:pt>
                <c:pt idx="16">
                  <c:v>32.00272895960498</c:v>
                </c:pt>
                <c:pt idx="17">
                  <c:v>32.590700887146895</c:v>
                </c:pt>
                <c:pt idx="18">
                  <c:v>33.037125035096054</c:v>
                </c:pt>
                <c:pt idx="19">
                  <c:v>33.348575521694144</c:v>
                </c:pt>
                <c:pt idx="20">
                  <c:v>33.531225562761584</c:v>
                </c:pt>
                <c:pt idx="21">
                  <c:v>33.590877572549914</c:v>
                </c:pt>
                <c:pt idx="22">
                  <c:v>28.552245936667429</c:v>
                </c:pt>
              </c:numCache>
            </c:numRef>
          </c:yVal>
          <c:smooth val="1"/>
          <c:extLst xmlns:c15="http://schemas.microsoft.com/office/drawing/2012/chart">
            <c:ext xmlns:c16="http://schemas.microsoft.com/office/drawing/2014/chart" uri="{C3380CC4-5D6E-409C-BE32-E72D297353CC}">
              <c16:uniqueId val="{00000035-C8AA-4E18-900D-29D730DB0CD9}"/>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C8AA-4E18-900D-29D730DB0CD9}"/>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37-C8AA-4E18-900D-29D730DB0CD9}"/>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C8AA-4E18-900D-29D730DB0CD9}"/>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C8AA-4E18-900D-29D730DB0CD9}"/>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C8AA-4E18-900D-29D730DB0CD9}"/>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C8AA-4E18-900D-29D730DB0CD9}"/>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C8AA-4E18-900D-29D730DB0CD9}"/>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C8AA-4E18-900D-29D730DB0CD9}"/>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C8AA-4E18-900D-29D730DB0CD9}"/>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C8AA-4E18-900D-29D730DB0CD9}"/>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C8AA-4E18-900D-29D730DB0CD9}"/>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C8AA-4E18-900D-29D730DB0CD9}"/>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C8AA-4E18-900D-29D730DB0CD9}"/>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C8AA-4E18-900D-29D730DB0CD9}"/>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C8AA-4E18-900D-29D730DB0CD9}"/>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C8AA-4E18-900D-29D730DB0CD9}"/>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C8AA-4E18-900D-29D730DB0CD9}"/>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C8AA-4E18-900D-29D730DB0CD9}"/>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C8AA-4E18-900D-29D730DB0CD9}"/>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C8AA-4E18-900D-29D730DB0CD9}"/>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C8AA-4E18-900D-29D730DB0CD9}"/>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C8AA-4E18-900D-29D730DB0CD9}"/>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C8AA-4E18-900D-29D730DB0CD9}"/>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'WR3-05'!$AY$15:$AY$47</c:f>
              <c:numCache>
                <c:formatCode>0.00</c:formatCode>
                <c:ptCount val="33"/>
                <c:pt idx="0">
                  <c:v>9.6621432084423251</c:v>
                </c:pt>
                <c:pt idx="1">
                  <c:v>9.6621432084423251</c:v>
                </c:pt>
                <c:pt idx="2">
                  <c:v>9.6621432084423251</c:v>
                </c:pt>
                <c:pt idx="3">
                  <c:v>9.6621432084423251</c:v>
                </c:pt>
                <c:pt idx="4">
                  <c:v>9.6621432084423251</c:v>
                </c:pt>
                <c:pt idx="5">
                  <c:v>9.6621432084423251</c:v>
                </c:pt>
                <c:pt idx="6">
                  <c:v>9.6621432084423251</c:v>
                </c:pt>
                <c:pt idx="7">
                  <c:v>9.6621432084423251</c:v>
                </c:pt>
                <c:pt idx="8">
                  <c:v>9.6621432084423251</c:v>
                </c:pt>
                <c:pt idx="9">
                  <c:v>9.6621432084423251</c:v>
                </c:pt>
                <c:pt idx="10">
                  <c:v>9.6621432084423251</c:v>
                </c:pt>
                <c:pt idx="11">
                  <c:v>9.6621432084423251</c:v>
                </c:pt>
                <c:pt idx="12">
                  <c:v>9.6621432084423251</c:v>
                </c:pt>
                <c:pt idx="13">
                  <c:v>9.6621432084423251</c:v>
                </c:pt>
                <c:pt idx="14">
                  <c:v>9.6621432084423251</c:v>
                </c:pt>
                <c:pt idx="15">
                  <c:v>9.6621432084423251</c:v>
                </c:pt>
                <c:pt idx="16">
                  <c:v>9.6621432084423251</c:v>
                </c:pt>
                <c:pt idx="17">
                  <c:v>9.6621432084423251</c:v>
                </c:pt>
                <c:pt idx="18">
                  <c:v>9.6621432084423251</c:v>
                </c:pt>
                <c:pt idx="19">
                  <c:v>9.6621432084423251</c:v>
                </c:pt>
                <c:pt idx="20">
                  <c:v>9.6621432084423251</c:v>
                </c:pt>
                <c:pt idx="21">
                  <c:v>9.6621432084423251</c:v>
                </c:pt>
                <c:pt idx="22">
                  <c:v>9.6621432084423251</c:v>
                </c:pt>
              </c:numCache>
            </c:numRef>
          </c:xVal>
          <c:yVal>
            <c:numRef>
              <c:f>'WR3-05'!$AI$15:$AI$48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4D-C8AA-4E18-900D-29D730DB0CD9}"/>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C8AA-4E18-900D-29D730DB0CD9}"/>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4F-C8AA-4E18-900D-29D730DB0CD9}"/>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C8AA-4E18-900D-29D730DB0CD9}"/>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C8AA-4E18-900D-29D730DB0CD9}"/>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C8AA-4E18-900D-29D730DB0CD9}"/>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C8AA-4E18-900D-29D730DB0CD9}"/>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C8AA-4E18-900D-29D730DB0CD9}"/>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C8AA-4E18-900D-29D730DB0CD9}"/>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C8AA-4E18-900D-29D730DB0CD9}"/>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C8AA-4E18-900D-29D730DB0CD9}"/>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C8AA-4E18-900D-29D730DB0CD9}"/>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C8AA-4E18-900D-29D730DB0CD9}"/>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C8AA-4E18-900D-29D730DB0CD9}"/>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B-C8AA-4E18-900D-29D730DB0CD9}"/>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C8AA-4E18-900D-29D730DB0CD9}"/>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C8AA-4E18-900D-29D730DB0CD9}"/>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C8AA-4E18-900D-29D730DB0CD9}"/>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C8AA-4E18-900D-29D730DB0CD9}"/>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C8AA-4E18-900D-29D730DB0CD9}"/>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C8AA-4E18-900D-29D730DB0CD9}"/>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C8AA-4E18-900D-29D730DB0CD9}"/>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C8AA-4E18-900D-29D730DB0CD9}"/>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C8AA-4E18-900D-29D730DB0CD9}"/>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'WR3-05'!$AZ$15:$AZ$47</c:f>
              <c:numCache>
                <c:formatCode>0.00</c:formatCode>
                <c:ptCount val="33"/>
                <c:pt idx="0">
                  <c:v>16.994157207968332</c:v>
                </c:pt>
                <c:pt idx="1">
                  <c:v>16.994157207968332</c:v>
                </c:pt>
                <c:pt idx="2">
                  <c:v>16.994157207968332</c:v>
                </c:pt>
                <c:pt idx="3">
                  <c:v>16.994157207968332</c:v>
                </c:pt>
                <c:pt idx="4">
                  <c:v>16.994157207968332</c:v>
                </c:pt>
                <c:pt idx="5">
                  <c:v>16.994157207968332</c:v>
                </c:pt>
                <c:pt idx="6">
                  <c:v>16.994157207968332</c:v>
                </c:pt>
                <c:pt idx="7">
                  <c:v>16.994157207968332</c:v>
                </c:pt>
                <c:pt idx="8">
                  <c:v>16.994157207968332</c:v>
                </c:pt>
                <c:pt idx="9">
                  <c:v>16.994157207968332</c:v>
                </c:pt>
                <c:pt idx="10">
                  <c:v>16.994157207968332</c:v>
                </c:pt>
                <c:pt idx="11">
                  <c:v>16.994157207968332</c:v>
                </c:pt>
                <c:pt idx="12">
                  <c:v>16.994157207968332</c:v>
                </c:pt>
                <c:pt idx="13">
                  <c:v>16.994157207968332</c:v>
                </c:pt>
                <c:pt idx="14">
                  <c:v>16.994157207968332</c:v>
                </c:pt>
                <c:pt idx="15">
                  <c:v>16.994157207968332</c:v>
                </c:pt>
                <c:pt idx="16">
                  <c:v>16.994157207968332</c:v>
                </c:pt>
                <c:pt idx="17">
                  <c:v>16.994157207968332</c:v>
                </c:pt>
                <c:pt idx="18">
                  <c:v>16.994157207968332</c:v>
                </c:pt>
                <c:pt idx="19">
                  <c:v>16.994157207968332</c:v>
                </c:pt>
                <c:pt idx="20">
                  <c:v>16.994157207968332</c:v>
                </c:pt>
                <c:pt idx="21">
                  <c:v>16.994157207968332</c:v>
                </c:pt>
                <c:pt idx="22">
                  <c:v>16.994157207968332</c:v>
                </c:pt>
              </c:numCache>
            </c:numRef>
          </c:xVal>
          <c:yVal>
            <c:numRef>
              <c:f>'WR3-05'!$AI$15:$AI$48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65-C8AA-4E18-900D-29D730DB0CD9}"/>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'WR3-05'!$AP$24:$AP$28</c:f>
              <c:numCache>
                <c:formatCode>0.00</c:formatCode>
                <c:ptCount val="5"/>
                <c:pt idx="0">
                  <c:v>-45</c:v>
                </c:pt>
                <c:pt idx="1">
                  <c:v>-2.1739130434782608</c:v>
                </c:pt>
                <c:pt idx="2">
                  <c:v>0</c:v>
                </c:pt>
                <c:pt idx="3">
                  <c:v>2.1739130434782608</c:v>
                </c:pt>
                <c:pt idx="4">
                  <c:v>45</c:v>
                </c:pt>
              </c:numCache>
            </c:numRef>
          </c:xVal>
          <c:yVal>
            <c:numRef>
              <c:f>'WR3-05'!$AQ$24:$AQ$28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9DD9-4660-9C84-053F514E8CA2}"/>
            </c:ext>
          </c:extLst>
        </c:ser>
        <c:ser>
          <c:idx val="1"/>
          <c:order val="1"/>
          <c:tx>
            <c:v>RFT - Without Hardening [C]</c:v>
          </c:tx>
          <c:spPr>
            <a:ln w="19050" cap="rnd">
              <a:solidFill>
                <a:schemeClr val="accent2"/>
              </a:solidFill>
              <a:round/>
            </a:ln>
            <a:effectLst/>
          </c:spPr>
          <c:marker>
            <c:symbol val="none"/>
          </c:marker>
          <c:xVal>
            <c:numRef>
              <c:f>'WR3-05'!$AP$15:$AP$19</c:f>
              <c:numCache>
                <c:formatCode>0.00</c:formatCode>
                <c:ptCount val="5"/>
                <c:pt idx="0">
                  <c:v>-45</c:v>
                </c:pt>
                <c:pt idx="1">
                  <c:v>-2.5</c:v>
                </c:pt>
                <c:pt idx="2">
                  <c:v>0</c:v>
                </c:pt>
                <c:pt idx="3">
                  <c:v>2.5</c:v>
                </c:pt>
                <c:pt idx="4">
                  <c:v>45</c:v>
                </c:pt>
              </c:numCache>
            </c:numRef>
          </c:xVal>
          <c:yVal>
            <c:numRef>
              <c:f>'WR3-05'!$AQ$15:$AQ$19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1-9DD9-4660-9C84-053F514E8CA2}"/>
            </c:ext>
          </c:extLst>
        </c:ser>
        <c:ser>
          <c:idx val="2"/>
          <c:order val="2"/>
          <c:tx>
            <c:v>RFT - With Hardening [D]</c:v>
          </c:tx>
          <c:spPr>
            <a:ln w="19050" cap="rnd">
              <a:solidFill>
                <a:schemeClr val="accent3"/>
              </a:solidFill>
              <a:round/>
            </a:ln>
            <a:effectLst/>
          </c:spPr>
          <c:marker>
            <c:symbol val="none"/>
          </c:marker>
          <c:xVal>
            <c:numRef>
              <c:f>'WR3-05'!$AS$24:$AS$28</c:f>
              <c:numCache>
                <c:formatCode>0.00</c:formatCode>
                <c:ptCount val="5"/>
                <c:pt idx="0">
                  <c:v>-45</c:v>
                </c:pt>
                <c:pt idx="1">
                  <c:v>-2.1739130434782612</c:v>
                </c:pt>
                <c:pt idx="2">
                  <c:v>0</c:v>
                </c:pt>
                <c:pt idx="3">
                  <c:v>2.1739130434782612</c:v>
                </c:pt>
                <c:pt idx="4">
                  <c:v>45</c:v>
                </c:pt>
              </c:numCache>
            </c:numRef>
          </c:xVal>
          <c:yVal>
            <c:numRef>
              <c:f>'WR3-05'!$AT$24:$AT$28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9DD9-4660-9C84-053F514E8CA2}"/>
            </c:ext>
          </c:extLst>
        </c:ser>
        <c:ser>
          <c:idx val="3"/>
          <c:order val="3"/>
          <c:tx>
            <c:v>RFT - With Hardening [C]</c:v>
          </c:tx>
          <c:spPr>
            <a:ln w="19050" cap="rnd">
              <a:solidFill>
                <a:schemeClr val="accent4"/>
              </a:solidFill>
              <a:round/>
            </a:ln>
            <a:effectLst/>
          </c:spPr>
          <c:marker>
            <c:symbol val="none"/>
          </c:marker>
          <c:xVal>
            <c:numRef>
              <c:f>'WR3-05'!$AS$15:$AS$19</c:f>
              <c:numCache>
                <c:formatCode>0.00</c:formatCode>
                <c:ptCount val="5"/>
                <c:pt idx="0">
                  <c:v>-45</c:v>
                </c:pt>
                <c:pt idx="1">
                  <c:v>-2.5</c:v>
                </c:pt>
                <c:pt idx="2">
                  <c:v>0</c:v>
                </c:pt>
                <c:pt idx="3">
                  <c:v>2.5</c:v>
                </c:pt>
                <c:pt idx="4">
                  <c:v>45</c:v>
                </c:pt>
              </c:numCache>
            </c:numRef>
          </c:xVal>
          <c:yVal>
            <c:numRef>
              <c:f>'WR3-05'!$AT$15:$AT$19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3-9DD9-4660-9C84-053F514E8CA2}"/>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8D0D-4672-9BD8-C673E5B8E78F}"/>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8D0D-4672-9BD8-C673E5B8E78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8D0D-4672-9BD8-C673E5B8E78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8D0D-4672-9BD8-C673E5B8E78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8D0D-4672-9BD8-C673E5B8E78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8D0D-4672-9BD8-C673E5B8E78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8D0D-4672-9BD8-C673E5B8E78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8D0D-4672-9BD8-C673E5B8E78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8D0D-4672-9BD8-C673E5B8E78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8D0D-4672-9BD8-C673E5B8E78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8D0D-4672-9BD8-C673E5B8E78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8D0D-4672-9BD8-C673E5B8E78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8D0D-4672-9BD8-C673E5B8E78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8D0D-4672-9BD8-C673E5B8E78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8D0D-4672-9BD8-C673E5B8E78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8D0D-4672-9BD8-C673E5B8E78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8D0D-4672-9BD8-C673E5B8E78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8D0D-4672-9BD8-C673E5B8E78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8D0D-4672-9BD8-C673E5B8E78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8D0D-4672-9BD8-C673E5B8E78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8D0D-4672-9BD8-C673E5B8E78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8D0D-4672-9BD8-C673E5B8E78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8D0D-4672-9BD8-C673E5B8E78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'WR3-06'!$AV$15:$AV$47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numRef>
          </c:xVal>
          <c:yVal>
            <c:numRef>
              <c:f>'WR3-06'!$AI$15:$AI$48</c:f>
              <c:numCache>
                <c:formatCode>0.00</c:formatCode>
                <c:ptCount val="34"/>
                <c:pt idx="0">
                  <c:v>-0.1</c:v>
                </c:pt>
                <c:pt idx="1">
                  <c:v>0</c:v>
                </c:pt>
                <c:pt idx="2">
                  <c:v>6.7730497828638851</c:v>
                </c:pt>
                <c:pt idx="3">
                  <c:v>13.004969224584265</c:v>
                </c:pt>
                <c:pt idx="4">
                  <c:v>18.726088435470551</c:v>
                </c:pt>
                <c:pt idx="5">
                  <c:v>23.964512445502429</c:v>
                </c:pt>
                <c:pt idx="6">
                  <c:v>28.746321575108642</c:v>
                </c:pt>
                <c:pt idx="7">
                  <c:v>33.09575053669495</c:v>
                </c:pt>
                <c:pt idx="8">
                  <c:v>37.035348855137883</c:v>
                </c:pt>
                <c:pt idx="9">
                  <c:v>40.586124841662304</c:v>
                </c:pt>
                <c:pt idx="10">
                  <c:v>43.767675055216067</c:v>
                </c:pt>
                <c:pt idx="11">
                  <c:v>46.598300929806825</c:v>
                </c:pt>
                <c:pt idx="12">
                  <c:v>49.095114028013967</c:v>
                </c:pt>
                <c:pt idx="13">
                  <c:v>51.274131194053652</c:v>
                </c:pt>
                <c:pt idx="14">
                  <c:v>53.150360719410301</c:v>
                </c:pt>
                <c:pt idx="15">
                  <c:v>54.737880496050657</c:v>
                </c:pt>
                <c:pt idx="16">
                  <c:v>56.04990901319519</c:v>
                </c:pt>
                <c:pt idx="17">
                  <c:v>57.098869950683458</c:v>
                </c:pt>
                <c:pt idx="18">
                  <c:v>57.896451032754172</c:v>
                </c:pt>
                <c:pt idx="19">
                  <c:v>58.453657728560472</c:v>
                </c:pt>
                <c:pt idx="20">
                  <c:v>58.780862318274664</c:v>
                </c:pt>
                <c:pt idx="21">
                  <c:v>58.887848784779806</c:v>
                </c:pt>
                <c:pt idx="22">
                  <c:v>50.054671467062832</c:v>
                </c:pt>
              </c:numCache>
            </c:numRef>
          </c:yVal>
          <c:smooth val="0"/>
          <c:extLst xmlns:c15="http://schemas.microsoft.com/office/drawing/2012/chart">
            <c:ext xmlns:c16="http://schemas.microsoft.com/office/drawing/2014/chart" uri="{C3380CC4-5D6E-409C-BE32-E72D297353CC}">
              <c16:uniqueId val="{00000017-8D0D-4672-9BD8-C673E5B8E78F}"/>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8D0D-4672-9BD8-C673E5B8E78F}"/>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9-8D0D-4672-9BD8-C673E5B8E78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8D0D-4672-9BD8-C673E5B8E78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8D0D-4672-9BD8-C673E5B8E78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8D0D-4672-9BD8-C673E5B8E78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8D0D-4672-9BD8-C673E5B8E78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8D0D-4672-9BD8-C673E5B8E78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8D0D-4672-9BD8-C673E5B8E78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8D0D-4672-9BD8-C673E5B8E78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8D0D-4672-9BD8-C673E5B8E78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8D0D-4672-9BD8-C673E5B8E78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8D0D-4672-9BD8-C673E5B8E78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8D0D-4672-9BD8-C673E5B8E78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8D0D-4672-9BD8-C673E5B8E78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8D0D-4672-9BD8-C673E5B8E78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8D0D-4672-9BD8-C673E5B8E78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8D0D-4672-9BD8-C673E5B8E78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8D0D-4672-9BD8-C673E5B8E78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8D0D-4672-9BD8-C673E5B8E78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8D0D-4672-9BD8-C673E5B8E78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8D0D-4672-9BD8-C673E5B8E78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8D0D-4672-9BD8-C673E5B8E78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E-8D0D-4672-9BD8-C673E5B8E78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'WR3-06'!$AX$15:$AX$47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numRef>
          </c:xVal>
          <c:yVal>
            <c:numRef>
              <c:f>'WR3-06'!$AI$15:$AI$48</c:f>
              <c:numCache>
                <c:formatCode>0.00</c:formatCode>
                <c:ptCount val="34"/>
                <c:pt idx="0">
                  <c:v>-0.1</c:v>
                </c:pt>
                <c:pt idx="1">
                  <c:v>0</c:v>
                </c:pt>
                <c:pt idx="2">
                  <c:v>6.7730497828638851</c:v>
                </c:pt>
                <c:pt idx="3">
                  <c:v>13.004969224584265</c:v>
                </c:pt>
                <c:pt idx="4">
                  <c:v>18.726088435470551</c:v>
                </c:pt>
                <c:pt idx="5">
                  <c:v>23.964512445502429</c:v>
                </c:pt>
                <c:pt idx="6">
                  <c:v>28.746321575108642</c:v>
                </c:pt>
                <c:pt idx="7">
                  <c:v>33.09575053669495</c:v>
                </c:pt>
                <c:pt idx="8">
                  <c:v>37.035348855137883</c:v>
                </c:pt>
                <c:pt idx="9">
                  <c:v>40.586124841662304</c:v>
                </c:pt>
                <c:pt idx="10">
                  <c:v>43.767675055216067</c:v>
                </c:pt>
                <c:pt idx="11">
                  <c:v>46.598300929806825</c:v>
                </c:pt>
                <c:pt idx="12">
                  <c:v>49.095114028013967</c:v>
                </c:pt>
                <c:pt idx="13">
                  <c:v>51.274131194053652</c:v>
                </c:pt>
                <c:pt idx="14">
                  <c:v>53.150360719410301</c:v>
                </c:pt>
                <c:pt idx="15">
                  <c:v>54.737880496050657</c:v>
                </c:pt>
                <c:pt idx="16">
                  <c:v>56.04990901319519</c:v>
                </c:pt>
                <c:pt idx="17">
                  <c:v>57.098869950683458</c:v>
                </c:pt>
                <c:pt idx="18">
                  <c:v>57.896451032754172</c:v>
                </c:pt>
                <c:pt idx="19">
                  <c:v>58.453657728560472</c:v>
                </c:pt>
                <c:pt idx="20">
                  <c:v>58.780862318274664</c:v>
                </c:pt>
                <c:pt idx="21">
                  <c:v>58.887848784779806</c:v>
                </c:pt>
                <c:pt idx="22">
                  <c:v>50.054671467062832</c:v>
                </c:pt>
              </c:numCache>
            </c:numRef>
          </c:yVal>
          <c:smooth val="0"/>
          <c:extLst xmlns:c15="http://schemas.microsoft.com/office/drawing/2012/chart">
            <c:ext xmlns:c16="http://schemas.microsoft.com/office/drawing/2014/chart" uri="{C3380CC4-5D6E-409C-BE32-E72D297353CC}">
              <c16:uniqueId val="{0000002F-8D0D-4672-9BD8-C673E5B8E78F}"/>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'WR3-06'!$AL$15:$AL$48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'WR3-06'!$AM$15:$AM$48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numRef>
          </c:yVal>
          <c:smooth val="1"/>
          <c:extLst xmlns:c15="http://schemas.microsoft.com/office/drawing/2012/chart">
            <c:ext xmlns:c16="http://schemas.microsoft.com/office/drawing/2014/chart" uri="{C3380CC4-5D6E-409C-BE32-E72D297353CC}">
              <c16:uniqueId val="{00000030-8D0D-4672-9BD8-C673E5B8E78F}"/>
            </c:ext>
          </c:extLst>
        </c:ser>
        <c:ser>
          <c:idx val="1"/>
          <c:order val="1"/>
          <c:tx>
            <c:v>CC - EC2 - [C]</c:v>
          </c:tx>
          <c:spPr>
            <a:ln w="19050" cap="rnd">
              <a:solidFill>
                <a:schemeClr val="accent2"/>
              </a:solidFill>
              <a:round/>
            </a:ln>
            <a:effectLst/>
          </c:spPr>
          <c:marker>
            <c:symbol val="none"/>
          </c:marker>
          <c:xVal>
            <c:numRef>
              <c:f>'WR3-06'!$AB$15:$AB$48</c:f>
              <c:numCache>
                <c:formatCode>0.000</c:formatCode>
                <c:ptCount val="34"/>
                <c:pt idx="0">
                  <c:v>-0.1</c:v>
                </c:pt>
                <c:pt idx="1">
                  <c:v>0</c:v>
                </c:pt>
                <c:pt idx="2">
                  <c:v>0.13145690969959833</c:v>
                </c:pt>
                <c:pt idx="3">
                  <c:v>0.26291381939919667</c:v>
                </c:pt>
                <c:pt idx="4">
                  <c:v>0.394370729098795</c:v>
                </c:pt>
                <c:pt idx="5">
                  <c:v>0.52582763879839334</c:v>
                </c:pt>
                <c:pt idx="6">
                  <c:v>0.65728454849799167</c:v>
                </c:pt>
                <c:pt idx="7">
                  <c:v>0.78874145819759001</c:v>
                </c:pt>
                <c:pt idx="8">
                  <c:v>0.92019836789718834</c:v>
                </c:pt>
                <c:pt idx="9">
                  <c:v>1.0516552775967867</c:v>
                </c:pt>
                <c:pt idx="10">
                  <c:v>1.183112187296385</c:v>
                </c:pt>
                <c:pt idx="11">
                  <c:v>1.3145690969959833</c:v>
                </c:pt>
                <c:pt idx="12">
                  <c:v>1.4460260066955817</c:v>
                </c:pt>
                <c:pt idx="13">
                  <c:v>1.57748291639518</c:v>
                </c:pt>
                <c:pt idx="14">
                  <c:v>1.7089398260947783</c:v>
                </c:pt>
                <c:pt idx="15">
                  <c:v>1.8403967357943767</c:v>
                </c:pt>
                <c:pt idx="16">
                  <c:v>1.971853645493975</c:v>
                </c:pt>
                <c:pt idx="17">
                  <c:v>2.1033105551935734</c:v>
                </c:pt>
                <c:pt idx="18">
                  <c:v>2.2347674648931717</c:v>
                </c:pt>
                <c:pt idx="19">
                  <c:v>2.36622437459277</c:v>
                </c:pt>
                <c:pt idx="20">
                  <c:v>2.4976812842923684</c:v>
                </c:pt>
                <c:pt idx="21">
                  <c:v>2.6291381939919667</c:v>
                </c:pt>
                <c:pt idx="22">
                  <c:v>9.3618638434328503</c:v>
                </c:pt>
              </c:numCache>
            </c:numRef>
          </c:xVal>
          <c:yVal>
            <c:numRef>
              <c:f>'WR3-06'!$AD$15:$AD$48</c:f>
              <c:numCache>
                <c:formatCode>0.00</c:formatCode>
                <c:ptCount val="34"/>
                <c:pt idx="0">
                  <c:v>-0.1</c:v>
                </c:pt>
                <c:pt idx="1">
                  <c:v>0</c:v>
                </c:pt>
                <c:pt idx="2">
                  <c:v>5.5894146559183806</c:v>
                </c:pt>
                <c:pt idx="3">
                  <c:v>10.892192662815299</c:v>
                </c:pt>
                <c:pt idx="4">
                  <c:v>15.908334020690774</c:v>
                </c:pt>
                <c:pt idx="5">
                  <c:v>20.637838729544775</c:v>
                </c:pt>
                <c:pt idx="6">
                  <c:v>25.080706789377338</c:v>
                </c:pt>
                <c:pt idx="7">
                  <c:v>29.23693820018844</c:v>
                </c:pt>
                <c:pt idx="8">
                  <c:v>33.106532961978083</c:v>
                </c:pt>
                <c:pt idx="9">
                  <c:v>36.689491074746279</c:v>
                </c:pt>
                <c:pt idx="10">
                  <c:v>39.985812538493015</c:v>
                </c:pt>
                <c:pt idx="11">
                  <c:v>42.995497353218298</c:v>
                </c:pt>
                <c:pt idx="12">
                  <c:v>45.718545518922127</c:v>
                </c:pt>
                <c:pt idx="13">
                  <c:v>48.15495703560449</c:v>
                </c:pt>
                <c:pt idx="14">
                  <c:v>50.304731903265406</c:v>
                </c:pt>
                <c:pt idx="15">
                  <c:v>52.167870121904862</c:v>
                </c:pt>
                <c:pt idx="16">
                  <c:v>53.744371691522872</c:v>
                </c:pt>
                <c:pt idx="17">
                  <c:v>55.034236612119415</c:v>
                </c:pt>
                <c:pt idx="18">
                  <c:v>56.037464883694511</c:v>
                </c:pt>
                <c:pt idx="19">
                  <c:v>56.754056506248148</c:v>
                </c:pt>
                <c:pt idx="20">
                  <c:v>57.184011479780331</c:v>
                </c:pt>
                <c:pt idx="21">
                  <c:v>57.327329804291061</c:v>
                </c:pt>
                <c:pt idx="22">
                  <c:v>48.728230333647403</c:v>
                </c:pt>
              </c:numCache>
            </c:numRef>
          </c:yVal>
          <c:smooth val="1"/>
          <c:extLst>
            <c:ext xmlns:c16="http://schemas.microsoft.com/office/drawing/2014/chart" uri="{C3380CC4-5D6E-409C-BE32-E72D297353CC}">
              <c16:uniqueId val="{00000031-8D0D-4672-9BD8-C673E5B8E78F}"/>
            </c:ext>
          </c:extLst>
        </c:ser>
        <c:ser>
          <c:idx val="2"/>
          <c:order val="2"/>
          <c:tx>
            <c:v>CC - EC8 - [C]</c:v>
          </c:tx>
          <c:spPr>
            <a:ln w="19050" cap="rnd">
              <a:solidFill>
                <a:schemeClr val="accent3"/>
              </a:solidFill>
              <a:round/>
            </a:ln>
            <a:effectLst/>
          </c:spPr>
          <c:marker>
            <c:symbol val="none"/>
          </c:marker>
          <c:xVal>
            <c:numRef>
              <c:f>'WR3-06'!$AG$15:$AG$48</c:f>
              <c:numCache>
                <c:formatCode>0.00</c:formatCode>
                <c:ptCount val="34"/>
                <c:pt idx="0">
                  <c:v>-0.1</c:v>
                </c:pt>
                <c:pt idx="1">
                  <c:v>0</c:v>
                </c:pt>
                <c:pt idx="2">
                  <c:v>0.18887848784779807</c:v>
                </c:pt>
                <c:pt idx="3">
                  <c:v>0.37775697569559613</c:v>
                </c:pt>
                <c:pt idx="4">
                  <c:v>0.56663546354339422</c:v>
                </c:pt>
                <c:pt idx="5">
                  <c:v>0.75551395139119226</c:v>
                </c:pt>
                <c:pt idx="6">
                  <c:v>0.9443924392389903</c:v>
                </c:pt>
                <c:pt idx="7">
                  <c:v>1.1332709270867884</c:v>
                </c:pt>
                <c:pt idx="8">
                  <c:v>1.3221494149345865</c:v>
                </c:pt>
                <c:pt idx="9">
                  <c:v>1.5110279027823845</c:v>
                </c:pt>
                <c:pt idx="10">
                  <c:v>1.6999063906301826</c:v>
                </c:pt>
                <c:pt idx="11">
                  <c:v>1.8887848784779806</c:v>
                </c:pt>
                <c:pt idx="12">
                  <c:v>2.0776633663257789</c:v>
                </c:pt>
                <c:pt idx="13">
                  <c:v>2.2665418541735769</c:v>
                </c:pt>
                <c:pt idx="14">
                  <c:v>2.4554203420213749</c:v>
                </c:pt>
                <c:pt idx="15">
                  <c:v>2.644298829869173</c:v>
                </c:pt>
                <c:pt idx="16">
                  <c:v>2.833177317716971</c:v>
                </c:pt>
                <c:pt idx="17">
                  <c:v>3.022055805564769</c:v>
                </c:pt>
                <c:pt idx="18">
                  <c:v>3.2109342934125671</c:v>
                </c:pt>
                <c:pt idx="19">
                  <c:v>3.3998127812603651</c:v>
                </c:pt>
                <c:pt idx="20">
                  <c:v>3.5886912691081632</c:v>
                </c:pt>
                <c:pt idx="21">
                  <c:v>3.7775697569559612</c:v>
                </c:pt>
                <c:pt idx="22">
                  <c:v>16.442855284238007</c:v>
                </c:pt>
              </c:numCache>
            </c:numRef>
          </c:xVal>
          <c:yVal>
            <c:numRef>
              <c:f>'WR3-06'!$AI$15:$AI$48</c:f>
              <c:numCache>
                <c:formatCode>0.00</c:formatCode>
                <c:ptCount val="34"/>
                <c:pt idx="0">
                  <c:v>-0.1</c:v>
                </c:pt>
                <c:pt idx="1">
                  <c:v>0</c:v>
                </c:pt>
                <c:pt idx="2">
                  <c:v>6.7730497828638851</c:v>
                </c:pt>
                <c:pt idx="3">
                  <c:v>13.004969224584265</c:v>
                </c:pt>
                <c:pt idx="4">
                  <c:v>18.726088435470551</c:v>
                </c:pt>
                <c:pt idx="5">
                  <c:v>23.964512445502429</c:v>
                </c:pt>
                <c:pt idx="6">
                  <c:v>28.746321575108642</c:v>
                </c:pt>
                <c:pt idx="7">
                  <c:v>33.09575053669495</c:v>
                </c:pt>
                <c:pt idx="8">
                  <c:v>37.035348855137883</c:v>
                </c:pt>
                <c:pt idx="9">
                  <c:v>40.586124841662304</c:v>
                </c:pt>
                <c:pt idx="10">
                  <c:v>43.767675055216067</c:v>
                </c:pt>
                <c:pt idx="11">
                  <c:v>46.598300929806825</c:v>
                </c:pt>
                <c:pt idx="12">
                  <c:v>49.095114028013967</c:v>
                </c:pt>
                <c:pt idx="13">
                  <c:v>51.274131194053652</c:v>
                </c:pt>
                <c:pt idx="14">
                  <c:v>53.150360719410301</c:v>
                </c:pt>
                <c:pt idx="15">
                  <c:v>54.737880496050657</c:v>
                </c:pt>
                <c:pt idx="16">
                  <c:v>56.04990901319519</c:v>
                </c:pt>
                <c:pt idx="17">
                  <c:v>57.098869950683458</c:v>
                </c:pt>
                <c:pt idx="18">
                  <c:v>57.896451032754172</c:v>
                </c:pt>
                <c:pt idx="19">
                  <c:v>58.453657728560472</c:v>
                </c:pt>
                <c:pt idx="20">
                  <c:v>58.780862318274664</c:v>
                </c:pt>
                <c:pt idx="21">
                  <c:v>58.887848784779806</c:v>
                </c:pt>
                <c:pt idx="22">
                  <c:v>50.054671467062832</c:v>
                </c:pt>
              </c:numCache>
            </c:numRef>
          </c:yVal>
          <c:smooth val="1"/>
          <c:extLst xmlns:c15="http://schemas.microsoft.com/office/drawing/2012/chart">
            <c:ext xmlns:c16="http://schemas.microsoft.com/office/drawing/2014/chart" uri="{C3380CC4-5D6E-409C-BE32-E72D297353CC}">
              <c16:uniqueId val="{00000032-8D0D-4672-9BD8-C673E5B8E78F}"/>
            </c:ext>
          </c:extLst>
        </c:ser>
        <c:ser>
          <c:idx val="3"/>
          <c:order val="3"/>
          <c:tx>
            <c:v>UC - EC2 - [D]</c:v>
          </c:tx>
          <c:spPr>
            <a:ln w="19050" cap="rnd">
              <a:solidFill>
                <a:schemeClr val="accent4"/>
              </a:solidFill>
              <a:round/>
            </a:ln>
            <a:effectLst/>
          </c:spPr>
          <c:marker>
            <c:symbol val="none"/>
          </c:marker>
          <c:xVal>
            <c:numRef>
              <c:f>'WR3-06'!$AL$15:$AL$48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'WR3-06'!$AN$15:$AN$48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xmlns:c15="http://schemas.microsoft.com/office/drawing/2012/chart">
            <c:ext xmlns:c16="http://schemas.microsoft.com/office/drawing/2014/chart" uri="{C3380CC4-5D6E-409C-BE32-E72D297353CC}">
              <c16:uniqueId val="{00000033-8D0D-4672-9BD8-C673E5B8E78F}"/>
            </c:ext>
          </c:extLst>
        </c:ser>
        <c:ser>
          <c:idx val="4"/>
          <c:order val="4"/>
          <c:tx>
            <c:v>CC - EC2 - [D]</c:v>
          </c:tx>
          <c:spPr>
            <a:ln w="19050" cap="rnd">
              <a:solidFill>
                <a:schemeClr val="accent5"/>
              </a:solidFill>
              <a:round/>
            </a:ln>
            <a:effectLst/>
          </c:spPr>
          <c:marker>
            <c:symbol val="none"/>
          </c:marker>
          <c:xVal>
            <c:numRef>
              <c:f>'WR3-06'!$AB$15:$AB$48</c:f>
              <c:numCache>
                <c:formatCode>0.000</c:formatCode>
                <c:ptCount val="34"/>
                <c:pt idx="0">
                  <c:v>-0.1</c:v>
                </c:pt>
                <c:pt idx="1">
                  <c:v>0</c:v>
                </c:pt>
                <c:pt idx="2">
                  <c:v>0.13145690969959833</c:v>
                </c:pt>
                <c:pt idx="3">
                  <c:v>0.26291381939919667</c:v>
                </c:pt>
                <c:pt idx="4">
                  <c:v>0.394370729098795</c:v>
                </c:pt>
                <c:pt idx="5">
                  <c:v>0.52582763879839334</c:v>
                </c:pt>
                <c:pt idx="6">
                  <c:v>0.65728454849799167</c:v>
                </c:pt>
                <c:pt idx="7">
                  <c:v>0.78874145819759001</c:v>
                </c:pt>
                <c:pt idx="8">
                  <c:v>0.92019836789718834</c:v>
                </c:pt>
                <c:pt idx="9">
                  <c:v>1.0516552775967867</c:v>
                </c:pt>
                <c:pt idx="10">
                  <c:v>1.183112187296385</c:v>
                </c:pt>
                <c:pt idx="11">
                  <c:v>1.3145690969959833</c:v>
                </c:pt>
                <c:pt idx="12">
                  <c:v>1.4460260066955817</c:v>
                </c:pt>
                <c:pt idx="13">
                  <c:v>1.57748291639518</c:v>
                </c:pt>
                <c:pt idx="14">
                  <c:v>1.7089398260947783</c:v>
                </c:pt>
                <c:pt idx="15">
                  <c:v>1.8403967357943767</c:v>
                </c:pt>
                <c:pt idx="16">
                  <c:v>1.971853645493975</c:v>
                </c:pt>
                <c:pt idx="17">
                  <c:v>2.1033105551935734</c:v>
                </c:pt>
                <c:pt idx="18">
                  <c:v>2.2347674648931717</c:v>
                </c:pt>
                <c:pt idx="19">
                  <c:v>2.36622437459277</c:v>
                </c:pt>
                <c:pt idx="20">
                  <c:v>2.4976812842923684</c:v>
                </c:pt>
                <c:pt idx="21">
                  <c:v>2.6291381939919667</c:v>
                </c:pt>
                <c:pt idx="22">
                  <c:v>9.3618638434328503</c:v>
                </c:pt>
              </c:numCache>
            </c:numRef>
          </c:xVal>
          <c:yVal>
            <c:numRef>
              <c:f>'WR3-06'!$AE$15:$AE$48</c:f>
              <c:numCache>
                <c:formatCode>0.00</c:formatCode>
                <c:ptCount val="34"/>
                <c:pt idx="0">
                  <c:v>-0.1</c:v>
                </c:pt>
                <c:pt idx="1">
                  <c:v>0</c:v>
                </c:pt>
                <c:pt idx="2">
                  <c:v>3.1673349716870827</c:v>
                </c:pt>
                <c:pt idx="3">
                  <c:v>6.1722425089286697</c:v>
                </c:pt>
                <c:pt idx="4">
                  <c:v>9.0147226117247712</c:v>
                </c:pt>
                <c:pt idx="5">
                  <c:v>11.694775280075371</c:v>
                </c:pt>
                <c:pt idx="6">
                  <c:v>14.212400513980491</c:v>
                </c:pt>
                <c:pt idx="7">
                  <c:v>16.567598313440115</c:v>
                </c:pt>
                <c:pt idx="8">
                  <c:v>18.760368678454245</c:v>
                </c:pt>
                <c:pt idx="9">
                  <c:v>20.790711609022889</c:v>
                </c:pt>
                <c:pt idx="10">
                  <c:v>22.658627105146042</c:v>
                </c:pt>
                <c:pt idx="11">
                  <c:v>24.364115166823698</c:v>
                </c:pt>
                <c:pt idx="12">
                  <c:v>25.90717579405587</c:v>
                </c:pt>
                <c:pt idx="13">
                  <c:v>27.287808986842546</c:v>
                </c:pt>
                <c:pt idx="14">
                  <c:v>28.50601474518373</c:v>
                </c:pt>
                <c:pt idx="15">
                  <c:v>29.561793069079418</c:v>
                </c:pt>
                <c:pt idx="16">
                  <c:v>30.455143958529629</c:v>
                </c:pt>
                <c:pt idx="17">
                  <c:v>31.186067413534335</c:v>
                </c:pt>
                <c:pt idx="18">
                  <c:v>31.754563434093555</c:v>
                </c:pt>
                <c:pt idx="19">
                  <c:v>32.160632020207281</c:v>
                </c:pt>
                <c:pt idx="20">
                  <c:v>32.404273171875523</c:v>
                </c:pt>
                <c:pt idx="21">
                  <c:v>32.485486889098269</c:v>
                </c:pt>
                <c:pt idx="22">
                  <c:v>27.61266385573353</c:v>
                </c:pt>
              </c:numCache>
            </c:numRef>
          </c:yVal>
          <c:smooth val="1"/>
          <c:extLst xmlns:c15="http://schemas.microsoft.com/office/drawing/2012/chart">
            <c:ext xmlns:c16="http://schemas.microsoft.com/office/drawing/2014/chart" uri="{C3380CC4-5D6E-409C-BE32-E72D297353CC}">
              <c16:uniqueId val="{00000034-8D0D-4672-9BD8-C673E5B8E78F}"/>
            </c:ext>
          </c:extLst>
        </c:ser>
        <c:ser>
          <c:idx val="5"/>
          <c:order val="5"/>
          <c:tx>
            <c:v>CC - EC8 - [D]</c:v>
          </c:tx>
          <c:spPr>
            <a:ln w="19050" cap="rnd">
              <a:solidFill>
                <a:schemeClr val="accent6"/>
              </a:solidFill>
              <a:round/>
            </a:ln>
            <a:effectLst/>
          </c:spPr>
          <c:marker>
            <c:symbol val="none"/>
          </c:marker>
          <c:xVal>
            <c:numRef>
              <c:f>'WR3-06'!$AG$15:$AG$48</c:f>
              <c:numCache>
                <c:formatCode>0.00</c:formatCode>
                <c:ptCount val="34"/>
                <c:pt idx="0">
                  <c:v>-0.1</c:v>
                </c:pt>
                <c:pt idx="1">
                  <c:v>0</c:v>
                </c:pt>
                <c:pt idx="2">
                  <c:v>0.18887848784779807</c:v>
                </c:pt>
                <c:pt idx="3">
                  <c:v>0.37775697569559613</c:v>
                </c:pt>
                <c:pt idx="4">
                  <c:v>0.56663546354339422</c:v>
                </c:pt>
                <c:pt idx="5">
                  <c:v>0.75551395139119226</c:v>
                </c:pt>
                <c:pt idx="6">
                  <c:v>0.9443924392389903</c:v>
                </c:pt>
                <c:pt idx="7">
                  <c:v>1.1332709270867884</c:v>
                </c:pt>
                <c:pt idx="8">
                  <c:v>1.3221494149345865</c:v>
                </c:pt>
                <c:pt idx="9">
                  <c:v>1.5110279027823845</c:v>
                </c:pt>
                <c:pt idx="10">
                  <c:v>1.6999063906301826</c:v>
                </c:pt>
                <c:pt idx="11">
                  <c:v>1.8887848784779806</c:v>
                </c:pt>
                <c:pt idx="12">
                  <c:v>2.0776633663257789</c:v>
                </c:pt>
                <c:pt idx="13">
                  <c:v>2.2665418541735769</c:v>
                </c:pt>
                <c:pt idx="14">
                  <c:v>2.4554203420213749</c:v>
                </c:pt>
                <c:pt idx="15">
                  <c:v>2.644298829869173</c:v>
                </c:pt>
                <c:pt idx="16">
                  <c:v>2.833177317716971</c:v>
                </c:pt>
                <c:pt idx="17">
                  <c:v>3.022055805564769</c:v>
                </c:pt>
                <c:pt idx="18">
                  <c:v>3.2109342934125671</c:v>
                </c:pt>
                <c:pt idx="19">
                  <c:v>3.3998127812603651</c:v>
                </c:pt>
                <c:pt idx="20">
                  <c:v>3.5886912691081632</c:v>
                </c:pt>
                <c:pt idx="21">
                  <c:v>3.7775697569559612</c:v>
                </c:pt>
                <c:pt idx="22">
                  <c:v>16.442855284238007</c:v>
                </c:pt>
              </c:numCache>
            </c:numRef>
          </c:xVal>
          <c:yVal>
            <c:numRef>
              <c:f>'WR3-06'!$AJ$15:$AJ$48</c:f>
              <c:numCache>
                <c:formatCode>0.00</c:formatCode>
                <c:ptCount val="34"/>
                <c:pt idx="0">
                  <c:v>-0.1</c:v>
                </c:pt>
                <c:pt idx="1">
                  <c:v>0</c:v>
                </c:pt>
                <c:pt idx="2">
                  <c:v>3.8380615436228678</c:v>
                </c:pt>
                <c:pt idx="3">
                  <c:v>7.3694825605977501</c:v>
                </c:pt>
                <c:pt idx="4">
                  <c:v>10.611450113433312</c:v>
                </c:pt>
                <c:pt idx="5">
                  <c:v>13.57989038578471</c:v>
                </c:pt>
                <c:pt idx="6">
                  <c:v>16.289582225894897</c:v>
                </c:pt>
                <c:pt idx="7">
                  <c:v>18.75425863746047</c:v>
                </c:pt>
                <c:pt idx="8">
                  <c:v>20.986697684578132</c:v>
                </c:pt>
                <c:pt idx="9">
                  <c:v>22.998804076941969</c:v>
                </c:pt>
                <c:pt idx="10">
                  <c:v>24.801682531289103</c:v>
                </c:pt>
                <c:pt idx="11">
                  <c:v>26.405703860223866</c:v>
                </c:pt>
                <c:pt idx="12">
                  <c:v>27.820564615874577</c:v>
                </c:pt>
                <c:pt idx="13">
                  <c:v>29.055341009963737</c:v>
                </c:pt>
                <c:pt idx="14">
                  <c:v>30.118537740999169</c:v>
                </c:pt>
                <c:pt idx="15">
                  <c:v>31.018132281095372</c:v>
                </c:pt>
                <c:pt idx="16">
                  <c:v>31.761615107477272</c:v>
                </c:pt>
                <c:pt idx="17">
                  <c:v>32.356026305387296</c:v>
                </c:pt>
                <c:pt idx="18">
                  <c:v>32.807988918560696</c:v>
                </c:pt>
                <c:pt idx="19">
                  <c:v>33.123739379517602</c:v>
                </c:pt>
                <c:pt idx="20">
                  <c:v>33.309155313688976</c:v>
                </c:pt>
                <c:pt idx="21">
                  <c:v>33.369780978041888</c:v>
                </c:pt>
                <c:pt idx="22">
                  <c:v>28.364313831335604</c:v>
                </c:pt>
              </c:numCache>
            </c:numRef>
          </c:yVal>
          <c:smooth val="1"/>
          <c:extLst xmlns:c15="http://schemas.microsoft.com/office/drawing/2012/chart">
            <c:ext xmlns:c16="http://schemas.microsoft.com/office/drawing/2014/chart" uri="{C3380CC4-5D6E-409C-BE32-E72D297353CC}">
              <c16:uniqueId val="{00000035-8D0D-4672-9BD8-C673E5B8E78F}"/>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8D0D-4672-9BD8-C673E5B8E78F}"/>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37-8D0D-4672-9BD8-C673E5B8E78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8D0D-4672-9BD8-C673E5B8E78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8D0D-4672-9BD8-C673E5B8E78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8D0D-4672-9BD8-C673E5B8E78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8D0D-4672-9BD8-C673E5B8E78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8D0D-4672-9BD8-C673E5B8E78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8D0D-4672-9BD8-C673E5B8E78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8D0D-4672-9BD8-C673E5B8E78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8D0D-4672-9BD8-C673E5B8E78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8D0D-4672-9BD8-C673E5B8E78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8D0D-4672-9BD8-C673E5B8E78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8D0D-4672-9BD8-C673E5B8E78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8D0D-4672-9BD8-C673E5B8E78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8D0D-4672-9BD8-C673E5B8E78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8D0D-4672-9BD8-C673E5B8E78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8D0D-4672-9BD8-C673E5B8E78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8D0D-4672-9BD8-C673E5B8E78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8D0D-4672-9BD8-C673E5B8E78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8D0D-4672-9BD8-C673E5B8E78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8D0D-4672-9BD8-C673E5B8E78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8D0D-4672-9BD8-C673E5B8E78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8D0D-4672-9BD8-C673E5B8E78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'WR3-06'!$AY$15:$AY$47</c:f>
              <c:numCache>
                <c:formatCode>0.00</c:formatCode>
                <c:ptCount val="33"/>
                <c:pt idx="0">
                  <c:v>9.3618638434328503</c:v>
                </c:pt>
                <c:pt idx="1">
                  <c:v>9.3618638434328503</c:v>
                </c:pt>
                <c:pt idx="2">
                  <c:v>9.3618638434328503</c:v>
                </c:pt>
                <c:pt idx="3">
                  <c:v>9.3618638434328503</c:v>
                </c:pt>
                <c:pt idx="4">
                  <c:v>9.3618638434328503</c:v>
                </c:pt>
                <c:pt idx="5">
                  <c:v>9.3618638434328503</c:v>
                </c:pt>
                <c:pt idx="6">
                  <c:v>9.3618638434328503</c:v>
                </c:pt>
                <c:pt idx="7">
                  <c:v>9.3618638434328503</c:v>
                </c:pt>
                <c:pt idx="8">
                  <c:v>9.3618638434328503</c:v>
                </c:pt>
                <c:pt idx="9">
                  <c:v>9.3618638434328503</c:v>
                </c:pt>
                <c:pt idx="10">
                  <c:v>9.3618638434328503</c:v>
                </c:pt>
                <c:pt idx="11">
                  <c:v>9.3618638434328503</c:v>
                </c:pt>
                <c:pt idx="12">
                  <c:v>9.3618638434328503</c:v>
                </c:pt>
                <c:pt idx="13">
                  <c:v>9.3618638434328503</c:v>
                </c:pt>
                <c:pt idx="14">
                  <c:v>9.3618638434328503</c:v>
                </c:pt>
                <c:pt idx="15">
                  <c:v>9.3618638434328503</c:v>
                </c:pt>
                <c:pt idx="16">
                  <c:v>9.3618638434328503</c:v>
                </c:pt>
                <c:pt idx="17">
                  <c:v>9.3618638434328503</c:v>
                </c:pt>
                <c:pt idx="18">
                  <c:v>9.3618638434328503</c:v>
                </c:pt>
                <c:pt idx="19">
                  <c:v>9.3618638434328503</c:v>
                </c:pt>
                <c:pt idx="20">
                  <c:v>9.3618638434328503</c:v>
                </c:pt>
                <c:pt idx="21">
                  <c:v>9.3618638434328503</c:v>
                </c:pt>
                <c:pt idx="22">
                  <c:v>9.3618638434328503</c:v>
                </c:pt>
              </c:numCache>
            </c:numRef>
          </c:xVal>
          <c:yVal>
            <c:numRef>
              <c:f>'WR3-06'!$AI$15:$AI$48</c:f>
              <c:numCache>
                <c:formatCode>0.00</c:formatCode>
                <c:ptCount val="34"/>
                <c:pt idx="0">
                  <c:v>-0.1</c:v>
                </c:pt>
                <c:pt idx="1">
                  <c:v>0</c:v>
                </c:pt>
                <c:pt idx="2">
                  <c:v>6.7730497828638851</c:v>
                </c:pt>
                <c:pt idx="3">
                  <c:v>13.004969224584265</c:v>
                </c:pt>
                <c:pt idx="4">
                  <c:v>18.726088435470551</c:v>
                </c:pt>
                <c:pt idx="5">
                  <c:v>23.964512445502429</c:v>
                </c:pt>
                <c:pt idx="6">
                  <c:v>28.746321575108642</c:v>
                </c:pt>
                <c:pt idx="7">
                  <c:v>33.09575053669495</c:v>
                </c:pt>
                <c:pt idx="8">
                  <c:v>37.035348855137883</c:v>
                </c:pt>
                <c:pt idx="9">
                  <c:v>40.586124841662304</c:v>
                </c:pt>
                <c:pt idx="10">
                  <c:v>43.767675055216067</c:v>
                </c:pt>
                <c:pt idx="11">
                  <c:v>46.598300929806825</c:v>
                </c:pt>
                <c:pt idx="12">
                  <c:v>49.095114028013967</c:v>
                </c:pt>
                <c:pt idx="13">
                  <c:v>51.274131194053652</c:v>
                </c:pt>
                <c:pt idx="14">
                  <c:v>53.150360719410301</c:v>
                </c:pt>
                <c:pt idx="15">
                  <c:v>54.737880496050657</c:v>
                </c:pt>
                <c:pt idx="16">
                  <c:v>56.04990901319519</c:v>
                </c:pt>
                <c:pt idx="17">
                  <c:v>57.098869950683458</c:v>
                </c:pt>
                <c:pt idx="18">
                  <c:v>57.896451032754172</c:v>
                </c:pt>
                <c:pt idx="19">
                  <c:v>58.453657728560472</c:v>
                </c:pt>
                <c:pt idx="20">
                  <c:v>58.780862318274664</c:v>
                </c:pt>
                <c:pt idx="21">
                  <c:v>58.887848784779806</c:v>
                </c:pt>
                <c:pt idx="22">
                  <c:v>50.054671467062832</c:v>
                </c:pt>
              </c:numCache>
            </c:numRef>
          </c:yVal>
          <c:smooth val="1"/>
          <c:extLst xmlns:c15="http://schemas.microsoft.com/office/drawing/2012/chart">
            <c:ext xmlns:c16="http://schemas.microsoft.com/office/drawing/2014/chart" uri="{C3380CC4-5D6E-409C-BE32-E72D297353CC}">
              <c16:uniqueId val="{0000004D-8D0D-4672-9BD8-C673E5B8E78F}"/>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8D0D-4672-9BD8-C673E5B8E78F}"/>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4F-8D0D-4672-9BD8-C673E5B8E78F}"/>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8D0D-4672-9BD8-C673E5B8E78F}"/>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8D0D-4672-9BD8-C673E5B8E78F}"/>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8D0D-4672-9BD8-C673E5B8E78F}"/>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8D0D-4672-9BD8-C673E5B8E78F}"/>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8D0D-4672-9BD8-C673E5B8E78F}"/>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8D0D-4672-9BD8-C673E5B8E78F}"/>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8D0D-4672-9BD8-C673E5B8E78F}"/>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8D0D-4672-9BD8-C673E5B8E78F}"/>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8D0D-4672-9BD8-C673E5B8E78F}"/>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8D0D-4672-9BD8-C673E5B8E78F}"/>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8D0D-4672-9BD8-C673E5B8E78F}"/>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B-8D0D-4672-9BD8-C673E5B8E78F}"/>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8D0D-4672-9BD8-C673E5B8E78F}"/>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8D0D-4672-9BD8-C673E5B8E78F}"/>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8D0D-4672-9BD8-C673E5B8E78F}"/>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8D0D-4672-9BD8-C673E5B8E78F}"/>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8D0D-4672-9BD8-C673E5B8E78F}"/>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8D0D-4672-9BD8-C673E5B8E78F}"/>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8D0D-4672-9BD8-C673E5B8E78F}"/>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8D0D-4672-9BD8-C673E5B8E78F}"/>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8D0D-4672-9BD8-C673E5B8E78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'WR3-06'!$AZ$15:$AZ$47</c:f>
              <c:numCache>
                <c:formatCode>0.00</c:formatCode>
                <c:ptCount val="33"/>
                <c:pt idx="0">
                  <c:v>16.442855284238007</c:v>
                </c:pt>
                <c:pt idx="1">
                  <c:v>16.442855284238007</c:v>
                </c:pt>
                <c:pt idx="2">
                  <c:v>16.442855284238007</c:v>
                </c:pt>
                <c:pt idx="3">
                  <c:v>16.442855284238007</c:v>
                </c:pt>
                <c:pt idx="4">
                  <c:v>16.442855284238007</c:v>
                </c:pt>
                <c:pt idx="5">
                  <c:v>16.442855284238007</c:v>
                </c:pt>
                <c:pt idx="6">
                  <c:v>16.442855284238007</c:v>
                </c:pt>
                <c:pt idx="7">
                  <c:v>16.442855284238007</c:v>
                </c:pt>
                <c:pt idx="8">
                  <c:v>16.442855284238007</c:v>
                </c:pt>
                <c:pt idx="9">
                  <c:v>16.442855284238007</c:v>
                </c:pt>
                <c:pt idx="10">
                  <c:v>16.442855284238007</c:v>
                </c:pt>
                <c:pt idx="11">
                  <c:v>16.442855284238007</c:v>
                </c:pt>
                <c:pt idx="12">
                  <c:v>16.442855284238007</c:v>
                </c:pt>
                <c:pt idx="13">
                  <c:v>16.442855284238007</c:v>
                </c:pt>
                <c:pt idx="14">
                  <c:v>16.442855284238007</c:v>
                </c:pt>
                <c:pt idx="15">
                  <c:v>16.442855284238007</c:v>
                </c:pt>
                <c:pt idx="16">
                  <c:v>16.442855284238007</c:v>
                </c:pt>
                <c:pt idx="17">
                  <c:v>16.442855284238007</c:v>
                </c:pt>
                <c:pt idx="18">
                  <c:v>16.442855284238007</c:v>
                </c:pt>
                <c:pt idx="19">
                  <c:v>16.442855284238007</c:v>
                </c:pt>
                <c:pt idx="20">
                  <c:v>16.442855284238007</c:v>
                </c:pt>
                <c:pt idx="21">
                  <c:v>16.442855284238007</c:v>
                </c:pt>
                <c:pt idx="22">
                  <c:v>16.442855284238007</c:v>
                </c:pt>
              </c:numCache>
            </c:numRef>
          </c:xVal>
          <c:yVal>
            <c:numRef>
              <c:f>'WR3-06'!$AI$15:$AI$48</c:f>
              <c:numCache>
                <c:formatCode>0.00</c:formatCode>
                <c:ptCount val="34"/>
                <c:pt idx="0">
                  <c:v>-0.1</c:v>
                </c:pt>
                <c:pt idx="1">
                  <c:v>0</c:v>
                </c:pt>
                <c:pt idx="2">
                  <c:v>6.7730497828638851</c:v>
                </c:pt>
                <c:pt idx="3">
                  <c:v>13.004969224584265</c:v>
                </c:pt>
                <c:pt idx="4">
                  <c:v>18.726088435470551</c:v>
                </c:pt>
                <c:pt idx="5">
                  <c:v>23.964512445502429</c:v>
                </c:pt>
                <c:pt idx="6">
                  <c:v>28.746321575108642</c:v>
                </c:pt>
                <c:pt idx="7">
                  <c:v>33.09575053669495</c:v>
                </c:pt>
                <c:pt idx="8">
                  <c:v>37.035348855137883</c:v>
                </c:pt>
                <c:pt idx="9">
                  <c:v>40.586124841662304</c:v>
                </c:pt>
                <c:pt idx="10">
                  <c:v>43.767675055216067</c:v>
                </c:pt>
                <c:pt idx="11">
                  <c:v>46.598300929806825</c:v>
                </c:pt>
                <c:pt idx="12">
                  <c:v>49.095114028013967</c:v>
                </c:pt>
                <c:pt idx="13">
                  <c:v>51.274131194053652</c:v>
                </c:pt>
                <c:pt idx="14">
                  <c:v>53.150360719410301</c:v>
                </c:pt>
                <c:pt idx="15">
                  <c:v>54.737880496050657</c:v>
                </c:pt>
                <c:pt idx="16">
                  <c:v>56.04990901319519</c:v>
                </c:pt>
                <c:pt idx="17">
                  <c:v>57.098869950683458</c:v>
                </c:pt>
                <c:pt idx="18">
                  <c:v>57.896451032754172</c:v>
                </c:pt>
                <c:pt idx="19">
                  <c:v>58.453657728560472</c:v>
                </c:pt>
                <c:pt idx="20">
                  <c:v>58.780862318274664</c:v>
                </c:pt>
                <c:pt idx="21">
                  <c:v>58.887848784779806</c:v>
                </c:pt>
                <c:pt idx="22">
                  <c:v>50.054671467062832</c:v>
                </c:pt>
              </c:numCache>
            </c:numRef>
          </c:yVal>
          <c:smooth val="1"/>
          <c:extLst xmlns:c15="http://schemas.microsoft.com/office/drawing/2012/chart">
            <c:ext xmlns:c16="http://schemas.microsoft.com/office/drawing/2014/chart" uri="{C3380CC4-5D6E-409C-BE32-E72D297353CC}">
              <c16:uniqueId val="{00000065-8D0D-4672-9BD8-C673E5B8E78F}"/>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'WR3-06'!$AP$24:$AP$28</c:f>
              <c:numCache>
                <c:formatCode>0.00</c:formatCode>
                <c:ptCount val="5"/>
                <c:pt idx="0">
                  <c:v>-45</c:v>
                </c:pt>
                <c:pt idx="1">
                  <c:v>-2.1739130434782608</c:v>
                </c:pt>
                <c:pt idx="2">
                  <c:v>0</c:v>
                </c:pt>
                <c:pt idx="3">
                  <c:v>2.1739130434782608</c:v>
                </c:pt>
                <c:pt idx="4">
                  <c:v>45</c:v>
                </c:pt>
              </c:numCache>
            </c:numRef>
          </c:xVal>
          <c:yVal>
            <c:numRef>
              <c:f>'WR3-06'!$AQ$24:$AQ$28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257D-4073-95D5-79DB8B10BE4F}"/>
            </c:ext>
          </c:extLst>
        </c:ser>
        <c:ser>
          <c:idx val="1"/>
          <c:order val="1"/>
          <c:tx>
            <c:v>RFT - Without Hardening [C]</c:v>
          </c:tx>
          <c:spPr>
            <a:ln w="19050" cap="rnd">
              <a:solidFill>
                <a:schemeClr val="accent2"/>
              </a:solidFill>
              <a:round/>
            </a:ln>
            <a:effectLst/>
          </c:spPr>
          <c:marker>
            <c:symbol val="none"/>
          </c:marker>
          <c:xVal>
            <c:numRef>
              <c:f>'WR3-06'!$AP$15:$AP$19</c:f>
              <c:numCache>
                <c:formatCode>0.00</c:formatCode>
                <c:ptCount val="5"/>
                <c:pt idx="0">
                  <c:v>-45</c:v>
                </c:pt>
                <c:pt idx="1">
                  <c:v>-2.5</c:v>
                </c:pt>
                <c:pt idx="2">
                  <c:v>0</c:v>
                </c:pt>
                <c:pt idx="3">
                  <c:v>2.5</c:v>
                </c:pt>
                <c:pt idx="4">
                  <c:v>45</c:v>
                </c:pt>
              </c:numCache>
            </c:numRef>
          </c:xVal>
          <c:yVal>
            <c:numRef>
              <c:f>'WR3-06'!$AQ$15:$AQ$19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1-257D-4073-95D5-79DB8B10BE4F}"/>
            </c:ext>
          </c:extLst>
        </c:ser>
        <c:ser>
          <c:idx val="2"/>
          <c:order val="2"/>
          <c:tx>
            <c:v>RFT - With Hardening [D]</c:v>
          </c:tx>
          <c:spPr>
            <a:ln w="19050" cap="rnd">
              <a:solidFill>
                <a:schemeClr val="accent3"/>
              </a:solidFill>
              <a:round/>
            </a:ln>
            <a:effectLst/>
          </c:spPr>
          <c:marker>
            <c:symbol val="none"/>
          </c:marker>
          <c:xVal>
            <c:numRef>
              <c:f>'WR3-06'!$AS$24:$AS$28</c:f>
              <c:numCache>
                <c:formatCode>0.00</c:formatCode>
                <c:ptCount val="5"/>
                <c:pt idx="0">
                  <c:v>-45</c:v>
                </c:pt>
                <c:pt idx="1">
                  <c:v>-2.1739130434782612</c:v>
                </c:pt>
                <c:pt idx="2">
                  <c:v>0</c:v>
                </c:pt>
                <c:pt idx="3">
                  <c:v>2.1739130434782612</c:v>
                </c:pt>
                <c:pt idx="4">
                  <c:v>45</c:v>
                </c:pt>
              </c:numCache>
            </c:numRef>
          </c:xVal>
          <c:yVal>
            <c:numRef>
              <c:f>'WR3-06'!$AT$24:$AT$28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257D-4073-95D5-79DB8B10BE4F}"/>
            </c:ext>
          </c:extLst>
        </c:ser>
        <c:ser>
          <c:idx val="3"/>
          <c:order val="3"/>
          <c:tx>
            <c:v>RFT - With Hardening [C]</c:v>
          </c:tx>
          <c:spPr>
            <a:ln w="19050" cap="rnd">
              <a:solidFill>
                <a:schemeClr val="accent4"/>
              </a:solidFill>
              <a:round/>
            </a:ln>
            <a:effectLst/>
          </c:spPr>
          <c:marker>
            <c:symbol val="none"/>
          </c:marker>
          <c:xVal>
            <c:numRef>
              <c:f>'WR3-06'!$AS$15:$AS$19</c:f>
              <c:numCache>
                <c:formatCode>0.00</c:formatCode>
                <c:ptCount val="5"/>
                <c:pt idx="0">
                  <c:v>-45</c:v>
                </c:pt>
                <c:pt idx="1">
                  <c:v>-2.5</c:v>
                </c:pt>
                <c:pt idx="2">
                  <c:v>0</c:v>
                </c:pt>
                <c:pt idx="3">
                  <c:v>2.5</c:v>
                </c:pt>
                <c:pt idx="4">
                  <c:v>45</c:v>
                </c:pt>
              </c:numCache>
            </c:numRef>
          </c:xVal>
          <c:yVal>
            <c:numRef>
              <c:f>'WR3-06'!$AT$15:$AT$19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3-257D-4073-95D5-79DB8B10BE4F}"/>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dLbls>
          <c:showLegendKey val="0"/>
          <c:showVal val="0"/>
          <c:showCatName val="0"/>
          <c:showSerName val="0"/>
          <c:showPercent val="0"/>
          <c:showBubbleSize val="0"/>
        </c:dLbls>
        <c:axId val="219697088"/>
        <c:axId val="921347520"/>
      </c:scatterChart>
      <c:valAx>
        <c:axId val="219697088"/>
        <c:scaling>
          <c:orientation val="minMax"/>
        </c:scaling>
        <c:delete val="0"/>
        <c:axPos val="b"/>
        <c:majorGridlines>
          <c:spPr>
            <a:ln w="9525" cap="flat" cmpd="sng" algn="ctr">
              <a:solidFill>
                <a:schemeClr val="tx1">
                  <a:lumMod val="15000"/>
                  <a:lumOff val="85000"/>
                </a:schemeClr>
              </a:solidFill>
              <a:round/>
            </a:ln>
            <a:effectLst/>
          </c:spPr>
        </c:majorGridlines>
        <c:numFmt formatCode="0.0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1347520"/>
        <c:crosses val="autoZero"/>
        <c:crossBetween val="midCat"/>
      </c:valAx>
      <c:valAx>
        <c:axId val="9213475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969708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a:t>Design Stress - Strain Plot Concrete</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smoothMarker"/>
        <c:varyColors val="0"/>
        <c:ser>
          <c:idx val="4"/>
          <c:order val="3"/>
          <c:tx>
            <c:v>WR03-06</c:v>
          </c:tx>
          <c:spPr>
            <a:ln w="19050" cap="rnd">
              <a:solidFill>
                <a:schemeClr val="accent5"/>
              </a:solidFill>
              <a:round/>
            </a:ln>
            <a:effectLst/>
          </c:spPr>
          <c:marker>
            <c:symbol val="none"/>
          </c:marker>
          <c:xVal>
            <c:numRef>
              <c:f>'WR3-06'!$AB$15:$AB$37</c:f>
              <c:numCache>
                <c:formatCode>0.000</c:formatCode>
                <c:ptCount val="23"/>
                <c:pt idx="0">
                  <c:v>-0.1</c:v>
                </c:pt>
                <c:pt idx="1">
                  <c:v>0</c:v>
                </c:pt>
                <c:pt idx="2">
                  <c:v>0.13145690969959833</c:v>
                </c:pt>
                <c:pt idx="3">
                  <c:v>0.26291381939919667</c:v>
                </c:pt>
                <c:pt idx="4">
                  <c:v>0.394370729098795</c:v>
                </c:pt>
                <c:pt idx="5">
                  <c:v>0.52582763879839334</c:v>
                </c:pt>
                <c:pt idx="6">
                  <c:v>0.65728454849799167</c:v>
                </c:pt>
                <c:pt idx="7">
                  <c:v>0.78874145819759001</c:v>
                </c:pt>
                <c:pt idx="8">
                  <c:v>0.92019836789718834</c:v>
                </c:pt>
                <c:pt idx="9">
                  <c:v>1.0516552775967867</c:v>
                </c:pt>
                <c:pt idx="10">
                  <c:v>1.183112187296385</c:v>
                </c:pt>
                <c:pt idx="11">
                  <c:v>1.3145690969959833</c:v>
                </c:pt>
                <c:pt idx="12">
                  <c:v>1.4460260066955817</c:v>
                </c:pt>
                <c:pt idx="13">
                  <c:v>1.57748291639518</c:v>
                </c:pt>
                <c:pt idx="14">
                  <c:v>1.7089398260947783</c:v>
                </c:pt>
                <c:pt idx="15">
                  <c:v>1.8403967357943767</c:v>
                </c:pt>
                <c:pt idx="16">
                  <c:v>1.971853645493975</c:v>
                </c:pt>
                <c:pt idx="17">
                  <c:v>2.1033105551935734</c:v>
                </c:pt>
                <c:pt idx="18">
                  <c:v>2.2347674648931717</c:v>
                </c:pt>
                <c:pt idx="19">
                  <c:v>2.36622437459277</c:v>
                </c:pt>
                <c:pt idx="20">
                  <c:v>2.4976812842923684</c:v>
                </c:pt>
                <c:pt idx="21">
                  <c:v>2.6291381939919667</c:v>
                </c:pt>
                <c:pt idx="22">
                  <c:v>9.3618638434328503</c:v>
                </c:pt>
              </c:numCache>
            </c:numRef>
          </c:xVal>
          <c:yVal>
            <c:numRef>
              <c:f>'WR3-06'!$AE$15:$AE$37</c:f>
              <c:numCache>
                <c:formatCode>0.00</c:formatCode>
                <c:ptCount val="23"/>
                <c:pt idx="0">
                  <c:v>-0.1</c:v>
                </c:pt>
                <c:pt idx="1">
                  <c:v>0</c:v>
                </c:pt>
                <c:pt idx="2">
                  <c:v>3.1673349716870827</c:v>
                </c:pt>
                <c:pt idx="3">
                  <c:v>6.1722425089286697</c:v>
                </c:pt>
                <c:pt idx="4">
                  <c:v>9.0147226117247712</c:v>
                </c:pt>
                <c:pt idx="5">
                  <c:v>11.694775280075371</c:v>
                </c:pt>
                <c:pt idx="6">
                  <c:v>14.212400513980491</c:v>
                </c:pt>
                <c:pt idx="7">
                  <c:v>16.567598313440115</c:v>
                </c:pt>
                <c:pt idx="8">
                  <c:v>18.760368678454245</c:v>
                </c:pt>
                <c:pt idx="9">
                  <c:v>20.790711609022889</c:v>
                </c:pt>
                <c:pt idx="10">
                  <c:v>22.658627105146042</c:v>
                </c:pt>
                <c:pt idx="11">
                  <c:v>24.364115166823698</c:v>
                </c:pt>
                <c:pt idx="12">
                  <c:v>25.90717579405587</c:v>
                </c:pt>
                <c:pt idx="13">
                  <c:v>27.287808986842546</c:v>
                </c:pt>
                <c:pt idx="14">
                  <c:v>28.50601474518373</c:v>
                </c:pt>
                <c:pt idx="15">
                  <c:v>29.561793069079418</c:v>
                </c:pt>
                <c:pt idx="16">
                  <c:v>30.455143958529629</c:v>
                </c:pt>
                <c:pt idx="17">
                  <c:v>31.186067413534335</c:v>
                </c:pt>
                <c:pt idx="18">
                  <c:v>31.754563434093555</c:v>
                </c:pt>
                <c:pt idx="19">
                  <c:v>32.160632020207281</c:v>
                </c:pt>
                <c:pt idx="20">
                  <c:v>32.404273171875523</c:v>
                </c:pt>
                <c:pt idx="21">
                  <c:v>32.485486889098269</c:v>
                </c:pt>
                <c:pt idx="22">
                  <c:v>27.61266385573353</c:v>
                </c:pt>
              </c:numCache>
            </c:numRef>
          </c:yVal>
          <c:smooth val="1"/>
          <c:extLst>
            <c:ext xmlns:c16="http://schemas.microsoft.com/office/drawing/2014/chart" uri="{C3380CC4-5D6E-409C-BE32-E72D297353CC}">
              <c16:uniqueId val="{00000004-ED21-4270-BE44-D4106B908AE1}"/>
            </c:ext>
          </c:extLst>
        </c:ser>
        <c:ser>
          <c:idx val="6"/>
          <c:order val="4"/>
          <c:tx>
            <c:v>Unconfined C50/60</c:v>
          </c:tx>
          <c:spPr>
            <a:ln w="19050" cap="rnd">
              <a:solidFill>
                <a:schemeClr val="accent1">
                  <a:lumMod val="60000"/>
                </a:schemeClr>
              </a:solidFill>
              <a:round/>
            </a:ln>
            <a:effectLst/>
          </c:spPr>
          <c:marker>
            <c:symbol val="none"/>
          </c:marker>
          <c:xVal>
            <c:numRef>
              <c:f>'WR03-01'!$AL$15:$AL$37</c:f>
              <c:numCache>
                <c:formatCode>0.00</c:formatCode>
                <c:ptCount val="23"/>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'WR03-01'!$AN$15:$AN$37</c:f>
              <c:numCache>
                <c:formatCode>0.00</c:formatCode>
                <c:ptCount val="23"/>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c:ext xmlns:c16="http://schemas.microsoft.com/office/drawing/2014/chart" uri="{C3380CC4-5D6E-409C-BE32-E72D297353CC}">
              <c16:uniqueId val="{00000007-ED21-4270-BE44-D4106B908AE1}"/>
            </c:ext>
          </c:extLst>
        </c:ser>
        <c:ser>
          <c:idx val="3"/>
          <c:order val="5"/>
          <c:tx>
            <c:v>3,897</c:v>
          </c:tx>
          <c:spPr>
            <a:ln w="19050" cap="rnd">
              <a:solidFill>
                <a:schemeClr val="accent4"/>
              </a:solidFill>
              <a:round/>
            </a:ln>
            <a:effectLst/>
          </c:spPr>
          <c:marker>
            <c:symbol val="none"/>
          </c:marker>
          <c:xVal>
            <c:numRef>
              <c:f>'WR3-06'!$Y$15:$Y$37</c:f>
              <c:numCache>
                <c:formatCode>0.000</c:formatCode>
                <c:ptCount val="23"/>
                <c:pt idx="0">
                  <c:v>3.8969999999999998</c:v>
                </c:pt>
                <c:pt idx="1">
                  <c:v>3.8969999999999998</c:v>
                </c:pt>
                <c:pt idx="2">
                  <c:v>3.8969999999999998</c:v>
                </c:pt>
                <c:pt idx="3">
                  <c:v>3.8969999999999998</c:v>
                </c:pt>
                <c:pt idx="4">
                  <c:v>3.8969999999999998</c:v>
                </c:pt>
                <c:pt idx="5">
                  <c:v>3.8969999999999998</c:v>
                </c:pt>
                <c:pt idx="6">
                  <c:v>3.8969999999999998</c:v>
                </c:pt>
                <c:pt idx="7">
                  <c:v>3.8969999999999998</c:v>
                </c:pt>
                <c:pt idx="8">
                  <c:v>3.8969999999999998</c:v>
                </c:pt>
                <c:pt idx="9">
                  <c:v>3.8969999999999998</c:v>
                </c:pt>
                <c:pt idx="10">
                  <c:v>3.8969999999999998</c:v>
                </c:pt>
                <c:pt idx="11">
                  <c:v>3.8969999999999998</c:v>
                </c:pt>
                <c:pt idx="12">
                  <c:v>3.8969999999999998</c:v>
                </c:pt>
                <c:pt idx="13">
                  <c:v>3.8969999999999998</c:v>
                </c:pt>
                <c:pt idx="14">
                  <c:v>3.8969999999999998</c:v>
                </c:pt>
                <c:pt idx="15">
                  <c:v>3.8969999999999998</c:v>
                </c:pt>
                <c:pt idx="16">
                  <c:v>3.8969999999999998</c:v>
                </c:pt>
                <c:pt idx="17">
                  <c:v>3.8969999999999998</c:v>
                </c:pt>
                <c:pt idx="18">
                  <c:v>3.8969999999999998</c:v>
                </c:pt>
                <c:pt idx="19">
                  <c:v>3.8969999999999998</c:v>
                </c:pt>
                <c:pt idx="20">
                  <c:v>3.8969999999999998</c:v>
                </c:pt>
                <c:pt idx="21">
                  <c:v>3.8969999999999998</c:v>
                </c:pt>
                <c:pt idx="22">
                  <c:v>3.8969999999999998</c:v>
                </c:pt>
              </c:numCache>
            </c:numRef>
          </c:xVal>
          <c:yVal>
            <c:numRef>
              <c:f>'WR3-06'!$AE$15:$AE$37</c:f>
              <c:numCache>
                <c:formatCode>0.00</c:formatCode>
                <c:ptCount val="23"/>
                <c:pt idx="0">
                  <c:v>-0.1</c:v>
                </c:pt>
                <c:pt idx="1">
                  <c:v>0</c:v>
                </c:pt>
                <c:pt idx="2">
                  <c:v>3.1673349716870827</c:v>
                </c:pt>
                <c:pt idx="3">
                  <c:v>6.1722425089286697</c:v>
                </c:pt>
                <c:pt idx="4">
                  <c:v>9.0147226117247712</c:v>
                </c:pt>
                <c:pt idx="5">
                  <c:v>11.694775280075371</c:v>
                </c:pt>
                <c:pt idx="6">
                  <c:v>14.212400513980491</c:v>
                </c:pt>
                <c:pt idx="7">
                  <c:v>16.567598313440115</c:v>
                </c:pt>
                <c:pt idx="8">
                  <c:v>18.760368678454245</c:v>
                </c:pt>
                <c:pt idx="9">
                  <c:v>20.790711609022889</c:v>
                </c:pt>
                <c:pt idx="10">
                  <c:v>22.658627105146042</c:v>
                </c:pt>
                <c:pt idx="11">
                  <c:v>24.364115166823698</c:v>
                </c:pt>
                <c:pt idx="12">
                  <c:v>25.90717579405587</c:v>
                </c:pt>
                <c:pt idx="13">
                  <c:v>27.287808986842546</c:v>
                </c:pt>
                <c:pt idx="14">
                  <c:v>28.50601474518373</c:v>
                </c:pt>
                <c:pt idx="15">
                  <c:v>29.561793069079418</c:v>
                </c:pt>
                <c:pt idx="16">
                  <c:v>30.455143958529629</c:v>
                </c:pt>
                <c:pt idx="17">
                  <c:v>31.186067413534335</c:v>
                </c:pt>
                <c:pt idx="18">
                  <c:v>31.754563434093555</c:v>
                </c:pt>
                <c:pt idx="19">
                  <c:v>32.160632020207281</c:v>
                </c:pt>
                <c:pt idx="20">
                  <c:v>32.404273171875523</c:v>
                </c:pt>
                <c:pt idx="21">
                  <c:v>32.485486889098269</c:v>
                </c:pt>
                <c:pt idx="22">
                  <c:v>27.61266385573353</c:v>
                </c:pt>
              </c:numCache>
            </c:numRef>
          </c:yVal>
          <c:smooth val="1"/>
          <c:extLst>
            <c:ext xmlns:c16="http://schemas.microsoft.com/office/drawing/2014/chart" uri="{C3380CC4-5D6E-409C-BE32-E72D297353CC}">
              <c16:uniqueId val="{00000003-0094-46D7-8EC9-21B3E633A6F5}"/>
            </c:ext>
          </c:extLst>
        </c:ser>
        <c:ser>
          <c:idx val="5"/>
          <c:order val="6"/>
          <c:tx>
            <c:v>9,362</c:v>
          </c:tx>
          <c:spPr>
            <a:ln w="19050" cap="rnd">
              <a:solidFill>
                <a:schemeClr val="accent6"/>
              </a:solidFill>
              <a:round/>
            </a:ln>
            <a:effectLst/>
          </c:spPr>
          <c:marker>
            <c:symbol val="none"/>
          </c:marker>
          <c:xVal>
            <c:numRef>
              <c:f>'WR3-06'!$Z$15:$Z$37</c:f>
              <c:numCache>
                <c:formatCode>0.000</c:formatCode>
                <c:ptCount val="23"/>
                <c:pt idx="0">
                  <c:v>9.3620000000000001</c:v>
                </c:pt>
                <c:pt idx="1">
                  <c:v>9.3620000000000001</c:v>
                </c:pt>
                <c:pt idx="2">
                  <c:v>9.3620000000000001</c:v>
                </c:pt>
                <c:pt idx="3">
                  <c:v>9.3620000000000001</c:v>
                </c:pt>
                <c:pt idx="4">
                  <c:v>9.3620000000000001</c:v>
                </c:pt>
                <c:pt idx="5">
                  <c:v>9.3620000000000001</c:v>
                </c:pt>
                <c:pt idx="6">
                  <c:v>9.3620000000000001</c:v>
                </c:pt>
                <c:pt idx="7">
                  <c:v>9.3620000000000001</c:v>
                </c:pt>
                <c:pt idx="8">
                  <c:v>9.3620000000000001</c:v>
                </c:pt>
                <c:pt idx="9">
                  <c:v>9.3620000000000001</c:v>
                </c:pt>
                <c:pt idx="10">
                  <c:v>9.3620000000000001</c:v>
                </c:pt>
                <c:pt idx="11">
                  <c:v>9.3620000000000001</c:v>
                </c:pt>
                <c:pt idx="12">
                  <c:v>9.3620000000000001</c:v>
                </c:pt>
                <c:pt idx="13">
                  <c:v>9.3620000000000001</c:v>
                </c:pt>
                <c:pt idx="14">
                  <c:v>9.3620000000000001</c:v>
                </c:pt>
                <c:pt idx="15">
                  <c:v>9.3620000000000001</c:v>
                </c:pt>
                <c:pt idx="16">
                  <c:v>9.3620000000000001</c:v>
                </c:pt>
                <c:pt idx="17">
                  <c:v>9.3620000000000001</c:v>
                </c:pt>
                <c:pt idx="18">
                  <c:v>9.3620000000000001</c:v>
                </c:pt>
                <c:pt idx="19">
                  <c:v>9.3620000000000001</c:v>
                </c:pt>
                <c:pt idx="20">
                  <c:v>9.3620000000000001</c:v>
                </c:pt>
                <c:pt idx="21">
                  <c:v>9.3620000000000001</c:v>
                </c:pt>
                <c:pt idx="22">
                  <c:v>9.3620000000000001</c:v>
                </c:pt>
              </c:numCache>
            </c:numRef>
          </c:xVal>
          <c:yVal>
            <c:numRef>
              <c:f>'WR3-06'!$AE$15:$AE$37</c:f>
              <c:numCache>
                <c:formatCode>0.00</c:formatCode>
                <c:ptCount val="23"/>
                <c:pt idx="0">
                  <c:v>-0.1</c:v>
                </c:pt>
                <c:pt idx="1">
                  <c:v>0</c:v>
                </c:pt>
                <c:pt idx="2">
                  <c:v>3.1673349716870827</c:v>
                </c:pt>
                <c:pt idx="3">
                  <c:v>6.1722425089286697</c:v>
                </c:pt>
                <c:pt idx="4">
                  <c:v>9.0147226117247712</c:v>
                </c:pt>
                <c:pt idx="5">
                  <c:v>11.694775280075371</c:v>
                </c:pt>
                <c:pt idx="6">
                  <c:v>14.212400513980491</c:v>
                </c:pt>
                <c:pt idx="7">
                  <c:v>16.567598313440115</c:v>
                </c:pt>
                <c:pt idx="8">
                  <c:v>18.760368678454245</c:v>
                </c:pt>
                <c:pt idx="9">
                  <c:v>20.790711609022889</c:v>
                </c:pt>
                <c:pt idx="10">
                  <c:v>22.658627105146042</c:v>
                </c:pt>
                <c:pt idx="11">
                  <c:v>24.364115166823698</c:v>
                </c:pt>
                <c:pt idx="12">
                  <c:v>25.90717579405587</c:v>
                </c:pt>
                <c:pt idx="13">
                  <c:v>27.287808986842546</c:v>
                </c:pt>
                <c:pt idx="14">
                  <c:v>28.50601474518373</c:v>
                </c:pt>
                <c:pt idx="15">
                  <c:v>29.561793069079418</c:v>
                </c:pt>
                <c:pt idx="16">
                  <c:v>30.455143958529629</c:v>
                </c:pt>
                <c:pt idx="17">
                  <c:v>31.186067413534335</c:v>
                </c:pt>
                <c:pt idx="18">
                  <c:v>31.754563434093555</c:v>
                </c:pt>
                <c:pt idx="19">
                  <c:v>32.160632020207281</c:v>
                </c:pt>
                <c:pt idx="20">
                  <c:v>32.404273171875523</c:v>
                </c:pt>
                <c:pt idx="21">
                  <c:v>32.485486889098269</c:v>
                </c:pt>
                <c:pt idx="22">
                  <c:v>27.61266385573353</c:v>
                </c:pt>
              </c:numCache>
            </c:numRef>
          </c:yVal>
          <c:smooth val="1"/>
          <c:extLst>
            <c:ext xmlns:c16="http://schemas.microsoft.com/office/drawing/2014/chart" uri="{C3380CC4-5D6E-409C-BE32-E72D297353CC}">
              <c16:uniqueId val="{00000005-0094-46D7-8EC9-21B3E633A6F5}"/>
            </c:ext>
          </c:extLst>
        </c:ser>
        <c:dLbls>
          <c:showLegendKey val="0"/>
          <c:showVal val="0"/>
          <c:showCatName val="0"/>
          <c:showSerName val="0"/>
          <c:showPercent val="0"/>
          <c:showBubbleSize val="0"/>
        </c:dLbls>
        <c:axId val="921350848"/>
        <c:axId val="921363744"/>
        <c:extLst>
          <c:ext xmlns:c15="http://schemas.microsoft.com/office/drawing/2012/chart" uri="{02D57815-91ED-43cb-92C2-25804820EDAC}">
            <c15:filteredScatterSeries>
              <c15:ser>
                <c:idx val="0"/>
                <c:order val="0"/>
                <c:tx>
                  <c:v>WR03-01</c:v>
                </c:tx>
                <c:spPr>
                  <a:ln w="19050" cap="rnd">
                    <a:solidFill>
                      <a:schemeClr val="accent1"/>
                    </a:solidFill>
                    <a:round/>
                  </a:ln>
                  <a:effectLst/>
                </c:spPr>
                <c:marker>
                  <c:symbol val="none"/>
                </c:marker>
                <c:xVal>
                  <c:numRef>
                    <c:extLst>
                      <c:ext uri="{02D57815-91ED-43cb-92C2-25804820EDAC}">
                        <c15:formulaRef>
                          <c15:sqref>'WR03-01'!$AB$15:$AB$37</c15:sqref>
                        </c15:formulaRef>
                      </c:ext>
                    </c:extLst>
                    <c:numCache>
                      <c:formatCode>0.00</c:formatCode>
                      <c:ptCount val="23"/>
                      <c:pt idx="0">
                        <c:v>-0.1</c:v>
                      </c:pt>
                      <c:pt idx="1">
                        <c:v>0</c:v>
                      </c:pt>
                      <c:pt idx="2">
                        <c:v>0.13291220451302793</c:v>
                      </c:pt>
                      <c:pt idx="3">
                        <c:v>0.26582440902605586</c:v>
                      </c:pt>
                      <c:pt idx="4">
                        <c:v>0.3987366135390838</c:v>
                      </c:pt>
                      <c:pt idx="5">
                        <c:v>0.53164881805211173</c:v>
                      </c:pt>
                      <c:pt idx="6">
                        <c:v>0.66456102256513971</c:v>
                      </c:pt>
                      <c:pt idx="7">
                        <c:v>0.7974732270781677</c:v>
                      </c:pt>
                      <c:pt idx="8">
                        <c:v>0.93038543159119569</c:v>
                      </c:pt>
                      <c:pt idx="9">
                        <c:v>1.0632976361042237</c:v>
                      </c:pt>
                      <c:pt idx="10">
                        <c:v>1.1962098406172517</c:v>
                      </c:pt>
                      <c:pt idx="11">
                        <c:v>1.3291220451302797</c:v>
                      </c:pt>
                      <c:pt idx="12">
                        <c:v>1.4620342496433076</c:v>
                      </c:pt>
                      <c:pt idx="13">
                        <c:v>1.5949464541563356</c:v>
                      </c:pt>
                      <c:pt idx="14">
                        <c:v>1.7278586586693636</c:v>
                      </c:pt>
                      <c:pt idx="15">
                        <c:v>1.8607708631823916</c:v>
                      </c:pt>
                      <c:pt idx="16">
                        <c:v>1.9936830676954196</c:v>
                      </c:pt>
                      <c:pt idx="17">
                        <c:v>2.1265952722084474</c:v>
                      </c:pt>
                      <c:pt idx="18">
                        <c:v>2.2595074767214753</c:v>
                      </c:pt>
                      <c:pt idx="19">
                        <c:v>2.3924196812345033</c:v>
                      </c:pt>
                      <c:pt idx="20">
                        <c:v>2.5253318857475313</c:v>
                      </c:pt>
                      <c:pt idx="21">
                        <c:v>2.6582440902605593</c:v>
                      </c:pt>
                      <c:pt idx="22">
                        <c:v>9.6150221967684537</c:v>
                      </c:pt>
                    </c:numCache>
                  </c:numRef>
                </c:xVal>
                <c:yVal>
                  <c:numRef>
                    <c:extLst>
                      <c:ext uri="{02D57815-91ED-43cb-92C2-25804820EDAC}">
                        <c15:formulaRef>
                          <c15:sqref>'WR03-01'!$AE$15:$AE$37</c15:sqref>
                        </c15:formulaRef>
                      </c:ext>
                    </c:extLst>
                    <c:numCache>
                      <c:formatCode>0.00</c:formatCode>
                      <c:ptCount val="23"/>
                      <c:pt idx="0">
                        <c:v>-0.1</c:v>
                      </c:pt>
                      <c:pt idx="1">
                        <c:v>0</c:v>
                      </c:pt>
                      <c:pt idx="2">
                        <c:v>3.1848187204643224</c:v>
                      </c:pt>
                      <c:pt idx="3">
                        <c:v>6.2063134039817527</c:v>
                      </c:pt>
                      <c:pt idx="4">
                        <c:v>9.064484050552295</c:v>
                      </c:pt>
                      <c:pt idx="5">
                        <c:v>11.759330660175953</c:v>
                      </c:pt>
                      <c:pt idx="6">
                        <c:v>14.290853232852724</c:v>
                      </c:pt>
                      <c:pt idx="7">
                        <c:v>16.659051768582604</c:v>
                      </c:pt>
                      <c:pt idx="8">
                        <c:v>18.863926267365592</c:v>
                      </c:pt>
                      <c:pt idx="9">
                        <c:v>20.905476729201695</c:v>
                      </c:pt>
                      <c:pt idx="10">
                        <c:v>22.783703154090915</c:v>
                      </c:pt>
                      <c:pt idx="11">
                        <c:v>24.498605542033243</c:v>
                      </c:pt>
                      <c:pt idx="12">
                        <c:v>26.050183893028684</c:v>
                      </c:pt>
                      <c:pt idx="13">
                        <c:v>27.43843820707723</c:v>
                      </c:pt>
                      <c:pt idx="14">
                        <c:v>28.663368484178893</c:v>
                      </c:pt>
                      <c:pt idx="15">
                        <c:v>29.724974724333666</c:v>
                      </c:pt>
                      <c:pt idx="16">
                        <c:v>30.623256927541551</c:v>
                      </c:pt>
                      <c:pt idx="17">
                        <c:v>31.358215093802546</c:v>
                      </c:pt>
                      <c:pt idx="18">
                        <c:v>31.929849223116658</c:v>
                      </c:pt>
                      <c:pt idx="19">
                        <c:v>32.338159315483878</c:v>
                      </c:pt>
                      <c:pt idx="20">
                        <c:v>32.583145370904212</c:v>
                      </c:pt>
                      <c:pt idx="21">
                        <c:v>32.664807389377657</c:v>
                      </c:pt>
                      <c:pt idx="22">
                        <c:v>27.765086280971008</c:v>
                      </c:pt>
                    </c:numCache>
                  </c:numRef>
                </c:yVal>
                <c:smooth val="1"/>
                <c:extLst>
                  <c:ext xmlns:c16="http://schemas.microsoft.com/office/drawing/2014/chart" uri="{C3380CC4-5D6E-409C-BE32-E72D297353CC}">
                    <c16:uniqueId val="{00000000-ED21-4270-BE44-D4106B908AE1}"/>
                  </c:ext>
                </c:extLst>
              </c15:ser>
            </c15:filteredScatterSeries>
            <c15:filteredScatterSeries>
              <c15:ser>
                <c:idx val="1"/>
                <c:order val="1"/>
                <c:tx>
                  <c:v>WR03-04</c:v>
                </c:tx>
                <c:spPr>
                  <a:ln w="19050" cap="rnd">
                    <a:solidFill>
                      <a:schemeClr val="accent2"/>
                    </a:solidFill>
                    <a:round/>
                  </a:ln>
                  <a:effectLst/>
                </c:spPr>
                <c:marker>
                  <c:symbol val="none"/>
                </c:marker>
                <c:xVal>
                  <c:numRef>
                    <c:extLst xmlns:c15="http://schemas.microsoft.com/office/drawing/2012/chart">
                      <c:ext xmlns:c15="http://schemas.microsoft.com/office/drawing/2012/chart" uri="{02D57815-91ED-43cb-92C2-25804820EDAC}">
                        <c15:formulaRef>
                          <c15:sqref>'WR03-04'!$AB$15:$AB$37</c15:sqref>
                        </c15:formulaRef>
                      </c:ext>
                    </c:extLst>
                    <c:numCache>
                      <c:formatCode>0.00</c:formatCode>
                      <c:ptCount val="23"/>
                      <c:pt idx="0">
                        <c:v>-0.1</c:v>
                      </c:pt>
                      <c:pt idx="1">
                        <c:v>0</c:v>
                      </c:pt>
                      <c:pt idx="2">
                        <c:v>0.14738585869458309</c:v>
                      </c:pt>
                      <c:pt idx="3">
                        <c:v>0.29477171738916619</c:v>
                      </c:pt>
                      <c:pt idx="4">
                        <c:v>0.44215757608374928</c:v>
                      </c:pt>
                      <c:pt idx="5">
                        <c:v>0.58954343477833238</c:v>
                      </c:pt>
                      <c:pt idx="6">
                        <c:v>0.73692929347291547</c:v>
                      </c:pt>
                      <c:pt idx="7">
                        <c:v>0.88431515216749856</c:v>
                      </c:pt>
                      <c:pt idx="8">
                        <c:v>1.0317010108620817</c:v>
                      </c:pt>
                      <c:pt idx="9">
                        <c:v>1.1790868695566648</c:v>
                      </c:pt>
                      <c:pt idx="10">
                        <c:v>1.3264727282512478</c:v>
                      </c:pt>
                      <c:pt idx="11">
                        <c:v>1.4738585869458309</c:v>
                      </c:pt>
                      <c:pt idx="12">
                        <c:v>1.621244445640414</c:v>
                      </c:pt>
                      <c:pt idx="13">
                        <c:v>1.7686303043349971</c:v>
                      </c:pt>
                      <c:pt idx="14">
                        <c:v>1.9160161630295802</c:v>
                      </c:pt>
                      <c:pt idx="15">
                        <c:v>2.0634020217241633</c:v>
                      </c:pt>
                      <c:pt idx="16">
                        <c:v>2.2107878804187466</c:v>
                      </c:pt>
                      <c:pt idx="17">
                        <c:v>2.3581737391133295</c:v>
                      </c:pt>
                      <c:pt idx="18">
                        <c:v>2.5055595978079124</c:v>
                      </c:pt>
                      <c:pt idx="19">
                        <c:v>2.6529454565024952</c:v>
                      </c:pt>
                      <c:pt idx="20">
                        <c:v>2.8003313151970781</c:v>
                      </c:pt>
                      <c:pt idx="21">
                        <c:v>2.947717173891661</c:v>
                      </c:pt>
                      <c:pt idx="22">
                        <c:v>12.061031075475835</c:v>
                      </c:pt>
                    </c:numCache>
                  </c:numRef>
                </c:xVal>
                <c:yVal>
                  <c:numRef>
                    <c:extLst xmlns:c15="http://schemas.microsoft.com/office/drawing/2012/chart">
                      <c:ext xmlns:c15="http://schemas.microsoft.com/office/drawing/2012/chart" uri="{02D57815-91ED-43cb-92C2-25804820EDAC}">
                        <c15:formulaRef>
                          <c15:sqref>'WR03-04'!$AE$15:$AE$37</c15:sqref>
                        </c15:formulaRef>
                      </c:ext>
                    </c:extLst>
                    <c:numCache>
                      <c:formatCode>0.00</c:formatCode>
                      <c:ptCount val="23"/>
                      <c:pt idx="0">
                        <c:v>-0.1</c:v>
                      </c:pt>
                      <c:pt idx="1">
                        <c:v>0</c:v>
                      </c:pt>
                      <c:pt idx="2">
                        <c:v>3.3537462086500507</c:v>
                      </c:pt>
                      <c:pt idx="3">
                        <c:v>6.5355054322411279</c:v>
                      </c:pt>
                      <c:pt idx="4">
                        <c:v>9.5452776707732223</c:v>
                      </c:pt>
                      <c:pt idx="5">
                        <c:v>12.383062924246341</c:v>
                      </c:pt>
                      <c:pt idx="6">
                        <c:v>15.04886119266048</c:v>
                      </c:pt>
                      <c:pt idx="7">
                        <c:v>17.542672476015646</c:v>
                      </c:pt>
                      <c:pt idx="8">
                        <c:v>19.864496774311839</c:v>
                      </c:pt>
                      <c:pt idx="9">
                        <c:v>22.014334087549049</c:v>
                      </c:pt>
                      <c:pt idx="10">
                        <c:v>23.992184415727291</c:v>
                      </c:pt>
                      <c:pt idx="11">
                        <c:v>25.79804775884654</c:v>
                      </c:pt>
                      <c:pt idx="12">
                        <c:v>27.431924116906817</c:v>
                      </c:pt>
                      <c:pt idx="13">
                        <c:v>28.893813489908126</c:v>
                      </c:pt>
                      <c:pt idx="14">
                        <c:v>30.183715877850457</c:v>
                      </c:pt>
                      <c:pt idx="15">
                        <c:v>31.301631280733801</c:v>
                      </c:pt>
                      <c:pt idx="16">
                        <c:v>32.247559698558177</c:v>
                      </c:pt>
                      <c:pt idx="17">
                        <c:v>33.021501131323568</c:v>
                      </c:pt>
                      <c:pt idx="18">
                        <c:v>33.623455579029986</c:v>
                      </c:pt>
                      <c:pt idx="19">
                        <c:v>34.053423041677426</c:v>
                      </c:pt>
                      <c:pt idx="20">
                        <c:v>34.311403519265902</c:v>
                      </c:pt>
                      <c:pt idx="21">
                        <c:v>34.397397011795384</c:v>
                      </c:pt>
                      <c:pt idx="22">
                        <c:v>29.237787460026073</c:v>
                      </c:pt>
                    </c:numCache>
                  </c:numRef>
                </c:yVal>
                <c:smooth val="1"/>
                <c:extLst xmlns:c15="http://schemas.microsoft.com/office/drawing/2012/chart">
                  <c:ext xmlns:c16="http://schemas.microsoft.com/office/drawing/2014/chart" uri="{C3380CC4-5D6E-409C-BE32-E72D297353CC}">
                    <c16:uniqueId val="{00000001-ED21-4270-BE44-D4106B908AE1}"/>
                  </c:ext>
                </c:extLst>
              </c15:ser>
            </c15:filteredScatterSeries>
            <c15:filteredScatterSeries>
              <c15:ser>
                <c:idx val="2"/>
                <c:order val="2"/>
                <c:tx>
                  <c:v>WR03-05</c:v>
                </c:tx>
                <c:spPr>
                  <a:ln w="19050" cap="rnd">
                    <a:solidFill>
                      <a:schemeClr val="accent3"/>
                    </a:solidFill>
                    <a:round/>
                  </a:ln>
                  <a:effectLst/>
                </c:spPr>
                <c:marker>
                  <c:symbol val="none"/>
                </c:marker>
                <c:xVal>
                  <c:numRef>
                    <c:extLst xmlns:c15="http://schemas.microsoft.com/office/drawing/2012/chart">
                      <c:ext xmlns:c15="http://schemas.microsoft.com/office/drawing/2012/chart" uri="{02D57815-91ED-43cb-92C2-25804820EDAC}">
                        <c15:formulaRef>
                          <c15:sqref>'WR3-05'!$AB$15:$AB$37</c15:sqref>
                        </c15:formulaRef>
                      </c:ext>
                    </c:extLst>
                    <c:numCache>
                      <c:formatCode>0.00</c:formatCode>
                      <c:ptCount val="23"/>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extLst xmlns:c15="http://schemas.microsoft.com/office/drawing/2012/chart">
                      <c:ext xmlns:c15="http://schemas.microsoft.com/office/drawing/2012/chart" uri="{02D57815-91ED-43cb-92C2-25804820EDAC}">
                        <c15:formulaRef>
                          <c15:sqref>'WR3-05'!$AE$15:$AE$37</c15:sqref>
                        </c15:formulaRef>
                      </c:ext>
                    </c:extLst>
                    <c:numCache>
                      <c:formatCode>0.00</c:formatCode>
                      <c:ptCount val="23"/>
                      <c:pt idx="0">
                        <c:v>-0.1</c:v>
                      </c:pt>
                      <c:pt idx="1">
                        <c:v>0</c:v>
                      </c:pt>
                      <c:pt idx="2">
                        <c:v>3.1880730153330492</c:v>
                      </c:pt>
                      <c:pt idx="3">
                        <c:v>6.2126551068028606</c:v>
                      </c:pt>
                      <c:pt idx="4">
                        <c:v>9.0737462744094461</c:v>
                      </c:pt>
                      <c:pt idx="5">
                        <c:v>11.771346518152795</c:v>
                      </c:pt>
                      <c:pt idx="6">
                        <c:v>14.305455838032907</c:v>
                      </c:pt>
                      <c:pt idx="7">
                        <c:v>16.676074234049789</c:v>
                      </c:pt>
                      <c:pt idx="8">
                        <c:v>18.883201706203444</c:v>
                      </c:pt>
                      <c:pt idx="9">
                        <c:v>20.926838254493852</c:v>
                      </c:pt>
                      <c:pt idx="10">
                        <c:v>22.806983878921034</c:v>
                      </c:pt>
                      <c:pt idx="11">
                        <c:v>24.523638579484984</c:v>
                      </c:pt>
                      <c:pt idx="12">
                        <c:v>26.076802356185706</c:v>
                      </c:pt>
                      <c:pt idx="13">
                        <c:v>27.466475209023184</c:v>
                      </c:pt>
                      <c:pt idx="14">
                        <c:v>28.692657137997433</c:v>
                      </c:pt>
                      <c:pt idx="15">
                        <c:v>29.755348143108446</c:v>
                      </c:pt>
                      <c:pt idx="16">
                        <c:v>30.654548224356233</c:v>
                      </c:pt>
                      <c:pt idx="17">
                        <c:v>31.390257381740781</c:v>
                      </c:pt>
                      <c:pt idx="18">
                        <c:v>31.962475615262097</c:v>
                      </c:pt>
                      <c:pt idx="19">
                        <c:v>32.371202924920176</c:v>
                      </c:pt>
                      <c:pt idx="20">
                        <c:v>32.61643931071503</c:v>
                      </c:pt>
                      <c:pt idx="21">
                        <c:v>32.698184772646648</c:v>
                      </c:pt>
                      <c:pt idx="22">
                        <c:v>27.793457056749649</c:v>
                      </c:pt>
                    </c:numCache>
                  </c:numRef>
                </c:yVal>
                <c:smooth val="1"/>
                <c:extLst xmlns:c15="http://schemas.microsoft.com/office/drawing/2012/chart">
                  <c:ext xmlns:c16="http://schemas.microsoft.com/office/drawing/2014/chart" uri="{C3380CC4-5D6E-409C-BE32-E72D297353CC}">
                    <c16:uniqueId val="{00000002-ED21-4270-BE44-D4106B908AE1}"/>
                  </c:ext>
                </c:extLst>
              </c15:ser>
            </c15:filteredScatterSeries>
          </c:ext>
        </c:extLst>
      </c:scatterChart>
      <c:valAx>
        <c:axId val="921350848"/>
        <c:scaling>
          <c:orientation val="minMax"/>
        </c:scaling>
        <c:delete val="0"/>
        <c:axPos val="b"/>
        <c:majorGridlines>
          <c:spPr>
            <a:ln w="6350" cap="flat" cmpd="sng" algn="ctr">
              <a:solidFill>
                <a:schemeClr val="bg1"/>
              </a:solidFill>
              <a:prstDash val="solid"/>
              <a:miter lim="800000"/>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Strain - </a:t>
                </a:r>
                <a:r>
                  <a:rPr lang="el-GR"/>
                  <a:t>ε</a:t>
                </a:r>
                <a:r>
                  <a:rPr lang="en-US"/>
                  <a:t> [mm/m]</a:t>
                </a:r>
                <a:endParaRPr lang="sr-Latn-RS"/>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bg1">
                    <a:lumMod val="20000"/>
                    <a:lumOff val="80000"/>
                  </a:schemeClr>
                </a:solidFill>
                <a:latin typeface="+mn-lt"/>
                <a:ea typeface="+mn-ea"/>
                <a:cs typeface="+mn-cs"/>
              </a:defRPr>
            </a:pPr>
            <a:endParaRPr lang="en-US"/>
          </a:p>
        </c:txPr>
        <c:crossAx val="921363744"/>
        <c:crosses val="autoZero"/>
        <c:crossBetween val="midCat"/>
      </c:valAx>
      <c:valAx>
        <c:axId val="921363744"/>
        <c:scaling>
          <c:orientation val="minMax"/>
        </c:scaling>
        <c:delete val="0"/>
        <c:axPos val="l"/>
        <c:majorGridlines>
          <c:spPr>
            <a:ln w="6350" cap="flat" cmpd="sng" algn="ctr">
              <a:solidFill>
                <a:schemeClr val="bg1"/>
              </a:solidFill>
              <a:prstDash val="solid"/>
              <a:miter lim="800000"/>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Stress - </a:t>
                </a:r>
                <a:r>
                  <a:rPr lang="el-GR"/>
                  <a:t>σ</a:t>
                </a:r>
                <a:r>
                  <a:rPr lang="en-US"/>
                  <a:t> [MPa]</a:t>
                </a:r>
                <a:endParaRPr lang="sr-Latn-RS"/>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bg1">
                    <a:lumMod val="20000"/>
                    <a:lumOff val="80000"/>
                  </a:schemeClr>
                </a:solidFill>
                <a:latin typeface="+mn-lt"/>
                <a:ea typeface="+mn-ea"/>
                <a:cs typeface="+mn-cs"/>
              </a:defRPr>
            </a:pPr>
            <a:endParaRPr lang="en-US"/>
          </a:p>
        </c:txPr>
        <c:crossAx val="92135084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4366"/>
    </a:solidFill>
    <a:ln w="9525" cap="flat" cmpd="sng" algn="ctr">
      <a:solidFill>
        <a:schemeClr val="tx1">
          <a:lumMod val="15000"/>
          <a:lumOff val="85000"/>
        </a:schemeClr>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a:t>Design Stress - Strain Plot Reinforcement</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2"/>
          <c:order val="2"/>
          <c:tx>
            <c:v>RFT - With Hardening [D]</c:v>
          </c:tx>
          <c:spPr>
            <a:ln w="19050" cap="rnd">
              <a:solidFill>
                <a:schemeClr val="accent3"/>
              </a:solidFill>
              <a:round/>
            </a:ln>
            <a:effectLst/>
          </c:spPr>
          <c:marker>
            <c:symbol val="none"/>
          </c:marker>
          <c:xVal>
            <c:numRef>
              <c:f>'WR03-01'!$AS$24:$AS$28</c:f>
              <c:numCache>
                <c:formatCode>0.00</c:formatCode>
                <c:ptCount val="5"/>
                <c:pt idx="0">
                  <c:v>-45</c:v>
                </c:pt>
                <c:pt idx="1">
                  <c:v>-2.1739130434782612</c:v>
                </c:pt>
                <c:pt idx="2">
                  <c:v>0</c:v>
                </c:pt>
                <c:pt idx="3">
                  <c:v>2.1739130434782612</c:v>
                </c:pt>
                <c:pt idx="4">
                  <c:v>45</c:v>
                </c:pt>
              </c:numCache>
            </c:numRef>
          </c:xVal>
          <c:yVal>
            <c:numRef>
              <c:f>'WR03-01'!$AT$24:$AT$28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3BB3-4CED-983D-729714667D3A}"/>
            </c:ext>
          </c:extLst>
        </c:ser>
        <c:dLbls>
          <c:showLegendKey val="0"/>
          <c:showVal val="0"/>
          <c:showCatName val="0"/>
          <c:showSerName val="0"/>
          <c:showPercent val="0"/>
          <c:showBubbleSize val="0"/>
        </c:dLbls>
        <c:axId val="1367339119"/>
        <c:axId val="1367339951"/>
        <c:extLst>
          <c:ext xmlns:c15="http://schemas.microsoft.com/office/drawing/2012/chart" uri="{02D57815-91ED-43cb-92C2-25804820EDAC}">
            <c15:filteredScatterSeries>
              <c15:ser>
                <c:idx val="0"/>
                <c:order val="0"/>
                <c:tx>
                  <c:v>RFT - Without Hardening [D]</c:v>
                </c:tx>
                <c:spPr>
                  <a:ln w="19050" cap="rnd">
                    <a:solidFill>
                      <a:schemeClr val="accent1"/>
                    </a:solidFill>
                    <a:round/>
                  </a:ln>
                  <a:effectLst/>
                </c:spPr>
                <c:marker>
                  <c:symbol val="none"/>
                </c:marker>
                <c:xVal>
                  <c:numRef>
                    <c:extLst>
                      <c:ext uri="{02D57815-91ED-43cb-92C2-25804820EDAC}">
                        <c15:formulaRef>
                          <c15:sqref>'WR03-01'!$AP$24:$AP$28</c15:sqref>
                        </c15:formulaRef>
                      </c:ext>
                    </c:extLst>
                    <c:numCache>
                      <c:formatCode>0.00</c:formatCode>
                      <c:ptCount val="5"/>
                      <c:pt idx="0">
                        <c:v>-45</c:v>
                      </c:pt>
                      <c:pt idx="1">
                        <c:v>-2.1739130434782608</c:v>
                      </c:pt>
                      <c:pt idx="2">
                        <c:v>0</c:v>
                      </c:pt>
                      <c:pt idx="3">
                        <c:v>2.1739130434782608</c:v>
                      </c:pt>
                      <c:pt idx="4">
                        <c:v>45</c:v>
                      </c:pt>
                    </c:numCache>
                  </c:numRef>
                </c:xVal>
                <c:yVal>
                  <c:numRef>
                    <c:extLst>
                      <c:ext uri="{02D57815-91ED-43cb-92C2-25804820EDAC}">
                        <c15:formulaRef>
                          <c15:sqref>'WR03-01'!$AQ$24:$AQ$28</c15:sqref>
                        </c15:formulaRef>
                      </c:ext>
                    </c:extLst>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3BB3-4CED-983D-729714667D3A}"/>
                  </c:ext>
                </c:extLst>
              </c15:ser>
            </c15:filteredScatterSeries>
            <c15:filteredScatterSeries>
              <c15:ser>
                <c:idx val="1"/>
                <c:order val="1"/>
                <c:tx>
                  <c:v>RFT - Without Hardening [C]</c:v>
                </c:tx>
                <c:spPr>
                  <a:ln w="19050" cap="rnd">
                    <a:solidFill>
                      <a:schemeClr val="accent2"/>
                    </a:solidFill>
                    <a:round/>
                  </a:ln>
                  <a:effectLst/>
                </c:spPr>
                <c:marker>
                  <c:symbol val="none"/>
                </c:marker>
                <c:xVal>
                  <c:numRef>
                    <c:extLst xmlns:c15="http://schemas.microsoft.com/office/drawing/2012/chart">
                      <c:ext xmlns:c15="http://schemas.microsoft.com/office/drawing/2012/chart" uri="{02D57815-91ED-43cb-92C2-25804820EDAC}">
                        <c15:formulaRef>
                          <c15:sqref>'WR03-01'!$AP$15:$AP$19</c15:sqref>
                        </c15:formulaRef>
                      </c:ext>
                    </c:extLst>
                    <c:numCache>
                      <c:formatCode>0.00</c:formatCode>
                      <c:ptCount val="5"/>
                      <c:pt idx="0">
                        <c:v>-45</c:v>
                      </c:pt>
                      <c:pt idx="1">
                        <c:v>-2.5</c:v>
                      </c:pt>
                      <c:pt idx="2">
                        <c:v>0</c:v>
                      </c:pt>
                      <c:pt idx="3">
                        <c:v>2.5</c:v>
                      </c:pt>
                      <c:pt idx="4">
                        <c:v>45</c:v>
                      </c:pt>
                    </c:numCache>
                  </c:numRef>
                </c:xVal>
                <c:yVal>
                  <c:numRef>
                    <c:extLst xmlns:c15="http://schemas.microsoft.com/office/drawing/2012/chart">
                      <c:ext xmlns:c15="http://schemas.microsoft.com/office/drawing/2012/chart" uri="{02D57815-91ED-43cb-92C2-25804820EDAC}">
                        <c15:formulaRef>
                          <c15:sqref>'WR03-01'!$AQ$15:$AQ$19</c15:sqref>
                        </c15:formulaRef>
                      </c:ext>
                    </c:extLst>
                    <c:numCache>
                      <c:formatCode>0.00</c:formatCode>
                      <c:ptCount val="5"/>
                      <c:pt idx="0">
                        <c:v>-500</c:v>
                      </c:pt>
                      <c:pt idx="1">
                        <c:v>-500</c:v>
                      </c:pt>
                      <c:pt idx="2">
                        <c:v>0</c:v>
                      </c:pt>
                      <c:pt idx="3">
                        <c:v>500</c:v>
                      </c:pt>
                      <c:pt idx="4">
                        <c:v>500</c:v>
                      </c:pt>
                    </c:numCache>
                  </c:numRef>
                </c:yVal>
                <c:smooth val="0"/>
                <c:extLst xmlns:c15="http://schemas.microsoft.com/office/drawing/2012/chart">
                  <c:ext xmlns:c16="http://schemas.microsoft.com/office/drawing/2014/chart" uri="{C3380CC4-5D6E-409C-BE32-E72D297353CC}">
                    <c16:uniqueId val="{00000001-3BB3-4CED-983D-729714667D3A}"/>
                  </c:ext>
                </c:extLst>
              </c15:ser>
            </c15:filteredScatterSeries>
            <c15:filteredScatterSeries>
              <c15:ser>
                <c:idx val="3"/>
                <c:order val="3"/>
                <c:tx>
                  <c:v>RFT - With Hardening [C]</c:v>
                </c:tx>
                <c:spPr>
                  <a:ln w="19050" cap="rnd">
                    <a:solidFill>
                      <a:schemeClr val="accent4"/>
                    </a:solidFill>
                    <a:round/>
                  </a:ln>
                  <a:effectLst/>
                </c:spPr>
                <c:marker>
                  <c:symbol val="none"/>
                </c:marker>
                <c:xVal>
                  <c:numRef>
                    <c:extLst xmlns:c15="http://schemas.microsoft.com/office/drawing/2012/chart">
                      <c:ext xmlns:c15="http://schemas.microsoft.com/office/drawing/2012/chart" uri="{02D57815-91ED-43cb-92C2-25804820EDAC}">
                        <c15:formulaRef>
                          <c15:sqref>'WR03-01'!$AS$15:$AS$19</c15:sqref>
                        </c15:formulaRef>
                      </c:ext>
                    </c:extLst>
                    <c:numCache>
                      <c:formatCode>0.00</c:formatCode>
                      <c:ptCount val="5"/>
                      <c:pt idx="0">
                        <c:v>-45</c:v>
                      </c:pt>
                      <c:pt idx="1">
                        <c:v>-2.5</c:v>
                      </c:pt>
                      <c:pt idx="2">
                        <c:v>0</c:v>
                      </c:pt>
                      <c:pt idx="3">
                        <c:v>2.5</c:v>
                      </c:pt>
                      <c:pt idx="4">
                        <c:v>45</c:v>
                      </c:pt>
                    </c:numCache>
                  </c:numRef>
                </c:xVal>
                <c:yVal>
                  <c:numRef>
                    <c:extLst xmlns:c15="http://schemas.microsoft.com/office/drawing/2012/chart">
                      <c:ext xmlns:c15="http://schemas.microsoft.com/office/drawing/2012/chart" uri="{02D57815-91ED-43cb-92C2-25804820EDAC}">
                        <c15:formulaRef>
                          <c15:sqref>'WR03-01'!$AT$15:$AT$19</c15:sqref>
                        </c15:formulaRef>
                      </c:ext>
                    </c:extLst>
                    <c:numCache>
                      <c:formatCode>0.00</c:formatCode>
                      <c:ptCount val="5"/>
                      <c:pt idx="0">
                        <c:v>-540</c:v>
                      </c:pt>
                      <c:pt idx="1">
                        <c:v>-500</c:v>
                      </c:pt>
                      <c:pt idx="2">
                        <c:v>0</c:v>
                      </c:pt>
                      <c:pt idx="3">
                        <c:v>500</c:v>
                      </c:pt>
                      <c:pt idx="4">
                        <c:v>540</c:v>
                      </c:pt>
                    </c:numCache>
                  </c:numRef>
                </c:yVal>
                <c:smooth val="0"/>
                <c:extLst xmlns:c15="http://schemas.microsoft.com/office/drawing/2012/chart">
                  <c:ext xmlns:c16="http://schemas.microsoft.com/office/drawing/2014/chart" uri="{C3380CC4-5D6E-409C-BE32-E72D297353CC}">
                    <c16:uniqueId val="{00000003-3BB3-4CED-983D-729714667D3A}"/>
                  </c:ext>
                </c:extLst>
              </c15:ser>
            </c15:filteredScatterSeries>
          </c:ext>
        </c:extLst>
      </c:scatterChart>
      <c:valAx>
        <c:axId val="1367339119"/>
        <c:scaling>
          <c:orientation val="minMax"/>
        </c:scaling>
        <c:delete val="0"/>
        <c:axPos val="b"/>
        <c:majorGridlines>
          <c:spPr>
            <a:ln w="6350" cap="flat" cmpd="sng" algn="ctr">
              <a:solidFill>
                <a:schemeClr val="bg1">
                  <a:lumMod val="60000"/>
                  <a:lumOff val="40000"/>
                </a:schemeClr>
              </a:solidFill>
              <a:prstDash val="solid"/>
              <a:miter lim="800000"/>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Strain - </a:t>
                </a:r>
                <a:r>
                  <a:rPr lang="el-GR"/>
                  <a:t>ε</a:t>
                </a:r>
                <a:r>
                  <a:rPr lang="en-US"/>
                  <a:t> [mm/m]</a:t>
                </a:r>
                <a:endParaRPr lang="sr-Latn-RS"/>
              </a:p>
            </c:rich>
          </c:tx>
          <c:layout>
            <c:manualLayout>
              <c:xMode val="edge"/>
              <c:yMode val="edge"/>
              <c:x val="0.42519202516164684"/>
              <c:y val="0.85022993678544256"/>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bg1">
                    <a:lumMod val="20000"/>
                    <a:lumOff val="80000"/>
                  </a:schemeClr>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6350" cap="flat" cmpd="sng" algn="ctr">
              <a:solidFill>
                <a:schemeClr val="bg1"/>
              </a:solidFill>
              <a:prstDash val="solid"/>
              <a:miter lim="800000"/>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Stress - </a:t>
                </a:r>
                <a:r>
                  <a:rPr lang="el-GR"/>
                  <a:t>σ</a:t>
                </a:r>
                <a:r>
                  <a:rPr lang="en-US"/>
                  <a:t> [MPa]</a:t>
                </a:r>
                <a:endParaRPr lang="sr-Latn-RS"/>
              </a:p>
            </c:rich>
          </c:tx>
          <c:layout>
            <c:manualLayout>
              <c:xMode val="edge"/>
              <c:yMode val="edge"/>
              <c:x val="1.961210650701897E-3"/>
              <c:y val="0.34888146441610585"/>
            </c:manualLayout>
          </c:layout>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4366"/>
    </a:solidFill>
    <a:ln w="9525" cap="flat" cmpd="sng" algn="ctr">
      <a:solidFill>
        <a:schemeClr val="tx1">
          <a:lumMod val="15000"/>
          <a:lumOff val="85000"/>
        </a:schemeClr>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CEBA-44C9-A0F9-68912BC41F2E}"/>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CEBA-44C9-A0F9-68912BC41F2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CEBA-44C9-A0F9-68912BC41F2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CEBA-44C9-A0F9-68912BC41F2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CEBA-44C9-A0F9-68912BC41F2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CEBA-44C9-A0F9-68912BC41F2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CEBA-44C9-A0F9-68912BC41F2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CEBA-44C9-A0F9-68912BC41F2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CEBA-44C9-A0F9-68912BC41F2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CEBA-44C9-A0F9-68912BC41F2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CEBA-44C9-A0F9-68912BC41F2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CEBA-44C9-A0F9-68912BC41F2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CEBA-44C9-A0F9-68912BC41F2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CEBA-44C9-A0F9-68912BC41F2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CEBA-44C9-A0F9-68912BC41F2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CEBA-44C9-A0F9-68912BC41F2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CEBA-44C9-A0F9-68912BC41F2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CEBA-44C9-A0F9-68912BC41F2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CEBA-44C9-A0F9-68912BC41F2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CEBA-44C9-A0F9-68912BC41F2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CEBA-44C9-A0F9-68912BC41F2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CEBA-44C9-A0F9-68912BC41F2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CEBA-44C9-A0F9-68912BC41F2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 CW'!$AV$15:$AV$47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numRef>
          </c:xVal>
          <c:yVal>
            <c:numRef>
              <c:f>'WR03-01 CW'!$AI$15:$AI$48</c:f>
              <c:numCache>
                <c:formatCode>0.00</c:formatCode>
                <c:ptCount val="34"/>
                <c:pt idx="0">
                  <c:v>-0.1</c:v>
                </c:pt>
                <c:pt idx="1">
                  <c:v>0</c:v>
                </c:pt>
                <c:pt idx="2">
                  <c:v>6.5353282747857051</c:v>
                </c:pt>
                <c:pt idx="3">
                  <c:v>12.577863004226902</c:v>
                </c:pt>
                <c:pt idx="4">
                  <c:v>18.151123322031811</c:v>
                </c:pt>
                <c:pt idx="5">
                  <c:v>23.277155162001335</c:v>
                </c:pt>
                <c:pt idx="6">
                  <c:v>27.976644828096727</c:v>
                </c:pt>
                <c:pt idx="7">
                  <c:v>32.269022217793967</c:v>
                </c:pt>
                <c:pt idx="8">
                  <c:v>36.172554782010494</c:v>
                </c:pt>
                <c:pt idx="9">
                  <c:v>39.704433177179006</c:v>
                </c:pt>
                <c:pt idx="10">
                  <c:v>42.880849454024244</c:v>
                </c:pt>
                <c:pt idx="11">
                  <c:v>45.717068530882727</c:v>
                </c:pt>
                <c:pt idx="12">
                  <c:v>48.227493614973653</c:v>
                </c:pt>
                <c:pt idx="13">
                  <c:v>50.425726161172086</c:v>
                </c:pt>
                <c:pt idx="14">
                  <c:v>52.324620893102001</c:v>
                </c:pt>
                <c:pt idx="15">
                  <c:v>53.936336354520911</c:v>
                </c:pt>
                <c:pt idx="16">
                  <c:v>55.272381408956754</c:v>
                </c:pt>
                <c:pt idx="17">
                  <c:v>56.343658061479616</c:v>
                </c:pt>
                <c:pt idx="18">
                  <c:v>57.160500937574902</c:v>
                </c:pt>
                <c:pt idx="19">
                  <c:v>57.732713719666165</c:v>
                </c:pt>
                <c:pt idx="20">
                  <c:v>58.069602811346201</c:v>
                </c:pt>
                <c:pt idx="21">
                  <c:v>58.180008472321511</c:v>
                </c:pt>
                <c:pt idx="22">
                  <c:v>49.453007201473284</c:v>
                </c:pt>
              </c:numCache>
            </c:numRef>
          </c:yVal>
          <c:smooth val="0"/>
          <c:extLst xmlns:c15="http://schemas.microsoft.com/office/drawing/2012/chart">
            <c:ext xmlns:c16="http://schemas.microsoft.com/office/drawing/2014/chart" uri="{C3380CC4-5D6E-409C-BE32-E72D297353CC}">
              <c16:uniqueId val="{00000017-CEBA-44C9-A0F9-68912BC41F2E}"/>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CEBA-44C9-A0F9-68912BC41F2E}"/>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9-CEBA-44C9-A0F9-68912BC41F2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CEBA-44C9-A0F9-68912BC41F2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CEBA-44C9-A0F9-68912BC41F2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CEBA-44C9-A0F9-68912BC41F2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CEBA-44C9-A0F9-68912BC41F2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CEBA-44C9-A0F9-68912BC41F2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CEBA-44C9-A0F9-68912BC41F2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CEBA-44C9-A0F9-68912BC41F2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CEBA-44C9-A0F9-68912BC41F2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CEBA-44C9-A0F9-68912BC41F2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CEBA-44C9-A0F9-68912BC41F2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CEBA-44C9-A0F9-68912BC41F2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CEBA-44C9-A0F9-68912BC41F2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CEBA-44C9-A0F9-68912BC41F2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CEBA-44C9-A0F9-68912BC41F2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CEBA-44C9-A0F9-68912BC41F2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CEBA-44C9-A0F9-68912BC41F2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CEBA-44C9-A0F9-68912BC41F2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CEBA-44C9-A0F9-68912BC41F2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CEBA-44C9-A0F9-68912BC41F2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CEBA-44C9-A0F9-68912BC41F2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E-CEBA-44C9-A0F9-68912BC41F2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 CW'!$AX$15:$AX$47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numRef>
          </c:xVal>
          <c:yVal>
            <c:numRef>
              <c:f>'WR03-01 CW'!$AI$15:$AI$48</c:f>
              <c:numCache>
                <c:formatCode>0.00</c:formatCode>
                <c:ptCount val="34"/>
                <c:pt idx="0">
                  <c:v>-0.1</c:v>
                </c:pt>
                <c:pt idx="1">
                  <c:v>0</c:v>
                </c:pt>
                <c:pt idx="2">
                  <c:v>6.5353282747857051</c:v>
                </c:pt>
                <c:pt idx="3">
                  <c:v>12.577863004226902</c:v>
                </c:pt>
                <c:pt idx="4">
                  <c:v>18.151123322031811</c:v>
                </c:pt>
                <c:pt idx="5">
                  <c:v>23.277155162001335</c:v>
                </c:pt>
                <c:pt idx="6">
                  <c:v>27.976644828096727</c:v>
                </c:pt>
                <c:pt idx="7">
                  <c:v>32.269022217793967</c:v>
                </c:pt>
                <c:pt idx="8">
                  <c:v>36.172554782010494</c:v>
                </c:pt>
                <c:pt idx="9">
                  <c:v>39.704433177179006</c:v>
                </c:pt>
                <c:pt idx="10">
                  <c:v>42.880849454024244</c:v>
                </c:pt>
                <c:pt idx="11">
                  <c:v>45.717068530882727</c:v>
                </c:pt>
                <c:pt idx="12">
                  <c:v>48.227493614973653</c:v>
                </c:pt>
                <c:pt idx="13">
                  <c:v>50.425726161172086</c:v>
                </c:pt>
                <c:pt idx="14">
                  <c:v>52.324620893102001</c:v>
                </c:pt>
                <c:pt idx="15">
                  <c:v>53.936336354520911</c:v>
                </c:pt>
                <c:pt idx="16">
                  <c:v>55.272381408956754</c:v>
                </c:pt>
                <c:pt idx="17">
                  <c:v>56.343658061479616</c:v>
                </c:pt>
                <c:pt idx="18">
                  <c:v>57.160500937574902</c:v>
                </c:pt>
                <c:pt idx="19">
                  <c:v>57.732713719666165</c:v>
                </c:pt>
                <c:pt idx="20">
                  <c:v>58.069602811346201</c:v>
                </c:pt>
                <c:pt idx="21">
                  <c:v>58.180008472321511</c:v>
                </c:pt>
                <c:pt idx="22">
                  <c:v>49.453007201473284</c:v>
                </c:pt>
              </c:numCache>
            </c:numRef>
          </c:yVal>
          <c:smooth val="0"/>
          <c:extLst xmlns:c15="http://schemas.microsoft.com/office/drawing/2012/chart">
            <c:ext xmlns:c16="http://schemas.microsoft.com/office/drawing/2014/chart" uri="{C3380CC4-5D6E-409C-BE32-E72D297353CC}">
              <c16:uniqueId val="{0000002F-CEBA-44C9-A0F9-68912BC41F2E}"/>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'WR03-01 CW'!$AL$15:$AL$48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'WR03-01 CW'!$AM$15:$AM$48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numRef>
          </c:yVal>
          <c:smooth val="1"/>
          <c:extLst xmlns:c15="http://schemas.microsoft.com/office/drawing/2012/chart">
            <c:ext xmlns:c16="http://schemas.microsoft.com/office/drawing/2014/chart" uri="{C3380CC4-5D6E-409C-BE32-E72D297353CC}">
              <c16:uniqueId val="{00000030-CEBA-44C9-A0F9-68912BC41F2E}"/>
            </c:ext>
          </c:extLst>
        </c:ser>
        <c:ser>
          <c:idx val="1"/>
          <c:order val="1"/>
          <c:tx>
            <c:v>CC - EC2 - [C]</c:v>
          </c:tx>
          <c:spPr>
            <a:ln w="19050" cap="rnd">
              <a:solidFill>
                <a:schemeClr val="accent2"/>
              </a:solidFill>
              <a:round/>
            </a:ln>
            <a:effectLst/>
          </c:spPr>
          <c:marker>
            <c:symbol val="none"/>
          </c:marker>
          <c:xVal>
            <c:numRef>
              <c:f>'WR03-01 CW'!$AB$15:$AB$48</c:f>
              <c:numCache>
                <c:formatCode>0.00</c:formatCode>
                <c:ptCount val="34"/>
                <c:pt idx="0">
                  <c:v>-0.1</c:v>
                </c:pt>
                <c:pt idx="1">
                  <c:v>0</c:v>
                </c:pt>
                <c:pt idx="2">
                  <c:v>0.1283837366294803</c:v>
                </c:pt>
                <c:pt idx="3">
                  <c:v>0.2567674732589606</c:v>
                </c:pt>
                <c:pt idx="4">
                  <c:v>0.38515120988844087</c:v>
                </c:pt>
                <c:pt idx="5">
                  <c:v>0.5135349465179212</c:v>
                </c:pt>
                <c:pt idx="6">
                  <c:v>0.64191868314740153</c:v>
                </c:pt>
                <c:pt idx="7">
                  <c:v>0.77030241977688185</c:v>
                </c:pt>
                <c:pt idx="8">
                  <c:v>0.89868615640636218</c:v>
                </c:pt>
                <c:pt idx="9">
                  <c:v>1.0270698930358424</c:v>
                </c:pt>
                <c:pt idx="10">
                  <c:v>1.1554536296653226</c:v>
                </c:pt>
                <c:pt idx="11">
                  <c:v>1.2838373662948028</c:v>
                </c:pt>
                <c:pt idx="12">
                  <c:v>1.412221102924283</c:v>
                </c:pt>
                <c:pt idx="13">
                  <c:v>1.5406048395537633</c:v>
                </c:pt>
                <c:pt idx="14">
                  <c:v>1.6689885761832435</c:v>
                </c:pt>
                <c:pt idx="15">
                  <c:v>1.7973723128127237</c:v>
                </c:pt>
                <c:pt idx="16">
                  <c:v>1.9257560494422039</c:v>
                </c:pt>
                <c:pt idx="17">
                  <c:v>2.0541397860716843</c:v>
                </c:pt>
                <c:pt idx="18">
                  <c:v>2.1825235227011648</c:v>
                </c:pt>
                <c:pt idx="19">
                  <c:v>2.3109072593306452</c:v>
                </c:pt>
                <c:pt idx="20">
                  <c:v>2.4392909959601257</c:v>
                </c:pt>
                <c:pt idx="21">
                  <c:v>2.5676747325896061</c:v>
                </c:pt>
                <c:pt idx="22">
                  <c:v>8.8226189233553072</c:v>
                </c:pt>
              </c:numCache>
            </c:numRef>
          </c:xVal>
          <c:yVal>
            <c:numRef>
              <c:f>'WR03-01 CW'!$AD$15:$AD$48</c:f>
              <c:numCache>
                <c:formatCode>0.00</c:formatCode>
                <c:ptCount val="34"/>
                <c:pt idx="0">
                  <c:v>-0.1</c:v>
                </c:pt>
                <c:pt idx="1">
                  <c:v>0</c:v>
                </c:pt>
                <c:pt idx="2">
                  <c:v>5.52369418128393</c:v>
                </c:pt>
                <c:pt idx="3">
                  <c:v>10.764121994296882</c:v>
                </c:pt>
                <c:pt idx="4">
                  <c:v>15.721283439038878</c:v>
                </c:pt>
                <c:pt idx="5">
                  <c:v>20.395178515509883</c:v>
                </c:pt>
                <c:pt idx="6">
                  <c:v>24.785807223709934</c:v>
                </c:pt>
                <c:pt idx="7">
                  <c:v>28.89316956363901</c:v>
                </c:pt>
                <c:pt idx="8">
                  <c:v>32.717265535297123</c:v>
                </c:pt>
                <c:pt idx="9">
                  <c:v>36.25809513868424</c:v>
                </c:pt>
                <c:pt idx="10">
                  <c:v>39.515658373800413</c:v>
                </c:pt>
                <c:pt idx="11">
                  <c:v>42.4899552406456</c:v>
                </c:pt>
                <c:pt idx="12">
                  <c:v>45.180985739219821</c:v>
                </c:pt>
                <c:pt idx="13">
                  <c:v>47.58874986952307</c:v>
                </c:pt>
                <c:pt idx="14">
                  <c:v>49.713247631555348</c:v>
                </c:pt>
                <c:pt idx="15">
                  <c:v>51.554479025316652</c:v>
                </c:pt>
                <c:pt idx="16">
                  <c:v>53.112444050806999</c:v>
                </c:pt>
                <c:pt idx="17">
                  <c:v>54.387142708026367</c:v>
                </c:pt>
                <c:pt idx="18">
                  <c:v>55.378574996974763</c:v>
                </c:pt>
                <c:pt idx="19">
                  <c:v>56.086740917652193</c:v>
                </c:pt>
                <c:pt idx="20">
                  <c:v>56.511640470058651</c:v>
                </c:pt>
                <c:pt idx="21">
                  <c:v>56.653273654194138</c:v>
                </c:pt>
                <c:pt idx="22">
                  <c:v>48.155282606065015</c:v>
                </c:pt>
              </c:numCache>
            </c:numRef>
          </c:yVal>
          <c:smooth val="1"/>
          <c:extLst>
            <c:ext xmlns:c16="http://schemas.microsoft.com/office/drawing/2014/chart" uri="{C3380CC4-5D6E-409C-BE32-E72D297353CC}">
              <c16:uniqueId val="{00000031-CEBA-44C9-A0F9-68912BC41F2E}"/>
            </c:ext>
          </c:extLst>
        </c:ser>
        <c:ser>
          <c:idx val="2"/>
          <c:order val="2"/>
          <c:tx>
            <c:v>CC - EC8 - [C]</c:v>
          </c:tx>
          <c:spPr>
            <a:ln w="19050" cap="rnd">
              <a:solidFill>
                <a:schemeClr val="accent3"/>
              </a:solidFill>
              <a:round/>
            </a:ln>
            <a:effectLst/>
          </c:spPr>
          <c:marker>
            <c:symbol val="none"/>
          </c:marker>
          <c:xVal>
            <c:numRef>
              <c:f>'WR03-01 CW'!$AG$15:$AG$48</c:f>
              <c:numCache>
                <c:formatCode>0.00</c:formatCode>
                <c:ptCount val="34"/>
                <c:pt idx="0">
                  <c:v>-0.1</c:v>
                </c:pt>
                <c:pt idx="1">
                  <c:v>0</c:v>
                </c:pt>
                <c:pt idx="2">
                  <c:v>0.1818000847232151</c:v>
                </c:pt>
                <c:pt idx="3">
                  <c:v>0.3636001694464302</c:v>
                </c:pt>
                <c:pt idx="4">
                  <c:v>0.54540025416964533</c:v>
                </c:pt>
                <c:pt idx="5">
                  <c:v>0.7272003388928604</c:v>
                </c:pt>
                <c:pt idx="6">
                  <c:v>0.90900042361607547</c:v>
                </c:pt>
                <c:pt idx="7">
                  <c:v>1.0908005083392907</c:v>
                </c:pt>
                <c:pt idx="8">
                  <c:v>1.2726005930625057</c:v>
                </c:pt>
                <c:pt idx="9">
                  <c:v>1.4544006777857208</c:v>
                </c:pt>
                <c:pt idx="10">
                  <c:v>1.6362007625089359</c:v>
                </c:pt>
                <c:pt idx="11">
                  <c:v>1.8180008472321509</c:v>
                </c:pt>
                <c:pt idx="12">
                  <c:v>1.999800931955366</c:v>
                </c:pt>
                <c:pt idx="13">
                  <c:v>2.1816010166785813</c:v>
                </c:pt>
                <c:pt idx="14">
                  <c:v>2.3634011014017964</c:v>
                </c:pt>
                <c:pt idx="15">
                  <c:v>2.5452011861250114</c:v>
                </c:pt>
                <c:pt idx="16">
                  <c:v>2.7270012708482265</c:v>
                </c:pt>
                <c:pt idx="17">
                  <c:v>2.9088013555714416</c:v>
                </c:pt>
                <c:pt idx="18">
                  <c:v>3.0906014402946567</c:v>
                </c:pt>
                <c:pt idx="19">
                  <c:v>3.2724015250178717</c:v>
                </c:pt>
                <c:pt idx="20">
                  <c:v>3.4542016097410868</c:v>
                </c:pt>
                <c:pt idx="21">
                  <c:v>3.6360016944643019</c:v>
                </c:pt>
                <c:pt idx="22">
                  <c:v>15.435669792587525</c:v>
                </c:pt>
              </c:numCache>
            </c:numRef>
          </c:xVal>
          <c:yVal>
            <c:numRef>
              <c:f>'WR03-01 CW'!$AI$15:$AI$48</c:f>
              <c:numCache>
                <c:formatCode>0.00</c:formatCode>
                <c:ptCount val="34"/>
                <c:pt idx="0">
                  <c:v>-0.1</c:v>
                </c:pt>
                <c:pt idx="1">
                  <c:v>0</c:v>
                </c:pt>
                <c:pt idx="2">
                  <c:v>6.5353282747857051</c:v>
                </c:pt>
                <c:pt idx="3">
                  <c:v>12.577863004226902</c:v>
                </c:pt>
                <c:pt idx="4">
                  <c:v>18.151123322031811</c:v>
                </c:pt>
                <c:pt idx="5">
                  <c:v>23.277155162001335</c:v>
                </c:pt>
                <c:pt idx="6">
                  <c:v>27.976644828096727</c:v>
                </c:pt>
                <c:pt idx="7">
                  <c:v>32.269022217793967</c:v>
                </c:pt>
                <c:pt idx="8">
                  <c:v>36.172554782010494</c:v>
                </c:pt>
                <c:pt idx="9">
                  <c:v>39.704433177179006</c:v>
                </c:pt>
                <c:pt idx="10">
                  <c:v>42.880849454024244</c:v>
                </c:pt>
                <c:pt idx="11">
                  <c:v>45.717068530882727</c:v>
                </c:pt>
                <c:pt idx="12">
                  <c:v>48.227493614973653</c:v>
                </c:pt>
                <c:pt idx="13">
                  <c:v>50.425726161172086</c:v>
                </c:pt>
                <c:pt idx="14">
                  <c:v>52.324620893102001</c:v>
                </c:pt>
                <c:pt idx="15">
                  <c:v>53.936336354520911</c:v>
                </c:pt>
                <c:pt idx="16">
                  <c:v>55.272381408956754</c:v>
                </c:pt>
                <c:pt idx="17">
                  <c:v>56.343658061479616</c:v>
                </c:pt>
                <c:pt idx="18">
                  <c:v>57.160500937574902</c:v>
                </c:pt>
                <c:pt idx="19">
                  <c:v>57.732713719666165</c:v>
                </c:pt>
                <c:pt idx="20">
                  <c:v>58.069602811346201</c:v>
                </c:pt>
                <c:pt idx="21">
                  <c:v>58.180008472321511</c:v>
                </c:pt>
                <c:pt idx="22">
                  <c:v>49.453007201473284</c:v>
                </c:pt>
              </c:numCache>
            </c:numRef>
          </c:yVal>
          <c:smooth val="1"/>
          <c:extLst xmlns:c15="http://schemas.microsoft.com/office/drawing/2012/chart">
            <c:ext xmlns:c16="http://schemas.microsoft.com/office/drawing/2014/chart" uri="{C3380CC4-5D6E-409C-BE32-E72D297353CC}">
              <c16:uniqueId val="{00000032-CEBA-44C9-A0F9-68912BC41F2E}"/>
            </c:ext>
          </c:extLst>
        </c:ser>
        <c:ser>
          <c:idx val="3"/>
          <c:order val="3"/>
          <c:tx>
            <c:v>UC - EC2 - [D]</c:v>
          </c:tx>
          <c:spPr>
            <a:ln w="19050" cap="rnd">
              <a:solidFill>
                <a:schemeClr val="accent4"/>
              </a:solidFill>
              <a:round/>
            </a:ln>
            <a:effectLst/>
          </c:spPr>
          <c:marker>
            <c:symbol val="none"/>
          </c:marker>
          <c:xVal>
            <c:numRef>
              <c:f>'WR03-01 CW'!$AL$15:$AL$48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'WR03-01 CW'!$AN$15:$AN$48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xmlns:c15="http://schemas.microsoft.com/office/drawing/2012/chart">
            <c:ext xmlns:c16="http://schemas.microsoft.com/office/drawing/2014/chart" uri="{C3380CC4-5D6E-409C-BE32-E72D297353CC}">
              <c16:uniqueId val="{00000033-CEBA-44C9-A0F9-68912BC41F2E}"/>
            </c:ext>
          </c:extLst>
        </c:ser>
        <c:ser>
          <c:idx val="4"/>
          <c:order val="4"/>
          <c:tx>
            <c:v>CC - EC2 - [D]</c:v>
          </c:tx>
          <c:spPr>
            <a:ln w="19050" cap="rnd">
              <a:solidFill>
                <a:schemeClr val="accent5"/>
              </a:solidFill>
              <a:round/>
            </a:ln>
            <a:effectLst/>
          </c:spPr>
          <c:marker>
            <c:symbol val="none"/>
          </c:marker>
          <c:xVal>
            <c:numRef>
              <c:f>'WR03-01 CW'!$AB$15:$AB$48</c:f>
              <c:numCache>
                <c:formatCode>0.00</c:formatCode>
                <c:ptCount val="34"/>
                <c:pt idx="0">
                  <c:v>-0.1</c:v>
                </c:pt>
                <c:pt idx="1">
                  <c:v>0</c:v>
                </c:pt>
                <c:pt idx="2">
                  <c:v>0.1283837366294803</c:v>
                </c:pt>
                <c:pt idx="3">
                  <c:v>0.2567674732589606</c:v>
                </c:pt>
                <c:pt idx="4">
                  <c:v>0.38515120988844087</c:v>
                </c:pt>
                <c:pt idx="5">
                  <c:v>0.5135349465179212</c:v>
                </c:pt>
                <c:pt idx="6">
                  <c:v>0.64191868314740153</c:v>
                </c:pt>
                <c:pt idx="7">
                  <c:v>0.77030241977688185</c:v>
                </c:pt>
                <c:pt idx="8">
                  <c:v>0.89868615640636218</c:v>
                </c:pt>
                <c:pt idx="9">
                  <c:v>1.0270698930358424</c:v>
                </c:pt>
                <c:pt idx="10">
                  <c:v>1.1554536296653226</c:v>
                </c:pt>
                <c:pt idx="11">
                  <c:v>1.2838373662948028</c:v>
                </c:pt>
                <c:pt idx="12">
                  <c:v>1.412221102924283</c:v>
                </c:pt>
                <c:pt idx="13">
                  <c:v>1.5406048395537633</c:v>
                </c:pt>
                <c:pt idx="14">
                  <c:v>1.6689885761832435</c:v>
                </c:pt>
                <c:pt idx="15">
                  <c:v>1.7973723128127237</c:v>
                </c:pt>
                <c:pt idx="16">
                  <c:v>1.9257560494422039</c:v>
                </c:pt>
                <c:pt idx="17">
                  <c:v>2.0541397860716843</c:v>
                </c:pt>
                <c:pt idx="18">
                  <c:v>2.1825235227011648</c:v>
                </c:pt>
                <c:pt idx="19">
                  <c:v>2.3109072593306452</c:v>
                </c:pt>
                <c:pt idx="20">
                  <c:v>2.4392909959601257</c:v>
                </c:pt>
                <c:pt idx="21">
                  <c:v>2.5676747325896061</c:v>
                </c:pt>
                <c:pt idx="22">
                  <c:v>8.8226189233553072</c:v>
                </c:pt>
              </c:numCache>
            </c:numRef>
          </c:xVal>
          <c:yVal>
            <c:numRef>
              <c:f>'WR03-01 CW'!$AE$15:$AE$48</c:f>
              <c:numCache>
                <c:formatCode>0.00</c:formatCode>
                <c:ptCount val="34"/>
                <c:pt idx="0">
                  <c:v>-0.1</c:v>
                </c:pt>
                <c:pt idx="1">
                  <c:v>0</c:v>
                </c:pt>
                <c:pt idx="2">
                  <c:v>3.1300933693942272</c:v>
                </c:pt>
                <c:pt idx="3">
                  <c:v>6.0996691301015664</c:v>
                </c:pt>
                <c:pt idx="4">
                  <c:v>8.9087272821220314</c:v>
                </c:pt>
                <c:pt idx="5">
                  <c:v>11.557267825455598</c:v>
                </c:pt>
                <c:pt idx="6">
                  <c:v>14.045290760102295</c:v>
                </c:pt>
                <c:pt idx="7">
                  <c:v>16.372796086062106</c:v>
                </c:pt>
                <c:pt idx="8">
                  <c:v>18.539783803335038</c:v>
                </c:pt>
                <c:pt idx="9">
                  <c:v>20.546253911921067</c:v>
                </c:pt>
                <c:pt idx="10">
                  <c:v>22.392206411820236</c:v>
                </c:pt>
                <c:pt idx="11">
                  <c:v>24.077641303032507</c:v>
                </c:pt>
                <c:pt idx="12">
                  <c:v>25.602558585557897</c:v>
                </c:pt>
                <c:pt idx="13">
                  <c:v>26.966958259396407</c:v>
                </c:pt>
                <c:pt idx="14">
                  <c:v>28.170840324548028</c:v>
                </c:pt>
                <c:pt idx="15">
                  <c:v>29.214204781012768</c:v>
                </c:pt>
                <c:pt idx="16">
                  <c:v>30.097051628790634</c:v>
                </c:pt>
                <c:pt idx="17">
                  <c:v>30.819380867881605</c:v>
                </c:pt>
                <c:pt idx="18">
                  <c:v>31.381192498285699</c:v>
                </c:pt>
                <c:pt idx="19">
                  <c:v>31.782486520002909</c:v>
                </c:pt>
                <c:pt idx="20">
                  <c:v>32.023262933033237</c:v>
                </c:pt>
                <c:pt idx="21">
                  <c:v>32.103521737376674</c:v>
                </c:pt>
                <c:pt idx="22">
                  <c:v>27.287993476770172</c:v>
                </c:pt>
              </c:numCache>
            </c:numRef>
          </c:yVal>
          <c:smooth val="1"/>
          <c:extLst xmlns:c15="http://schemas.microsoft.com/office/drawing/2012/chart">
            <c:ext xmlns:c16="http://schemas.microsoft.com/office/drawing/2014/chart" uri="{C3380CC4-5D6E-409C-BE32-E72D297353CC}">
              <c16:uniqueId val="{00000034-CEBA-44C9-A0F9-68912BC41F2E}"/>
            </c:ext>
          </c:extLst>
        </c:ser>
        <c:ser>
          <c:idx val="5"/>
          <c:order val="5"/>
          <c:tx>
            <c:v>CC - EC8 - [D]</c:v>
          </c:tx>
          <c:spPr>
            <a:ln w="19050" cap="rnd">
              <a:solidFill>
                <a:schemeClr val="accent6"/>
              </a:solidFill>
              <a:round/>
            </a:ln>
            <a:effectLst/>
          </c:spPr>
          <c:marker>
            <c:symbol val="none"/>
          </c:marker>
          <c:xVal>
            <c:numRef>
              <c:f>'WR03-01 CW'!$AG$15:$AG$48</c:f>
              <c:numCache>
                <c:formatCode>0.00</c:formatCode>
                <c:ptCount val="34"/>
                <c:pt idx="0">
                  <c:v>-0.1</c:v>
                </c:pt>
                <c:pt idx="1">
                  <c:v>0</c:v>
                </c:pt>
                <c:pt idx="2">
                  <c:v>0.1818000847232151</c:v>
                </c:pt>
                <c:pt idx="3">
                  <c:v>0.3636001694464302</c:v>
                </c:pt>
                <c:pt idx="4">
                  <c:v>0.54540025416964533</c:v>
                </c:pt>
                <c:pt idx="5">
                  <c:v>0.7272003388928604</c:v>
                </c:pt>
                <c:pt idx="6">
                  <c:v>0.90900042361607547</c:v>
                </c:pt>
                <c:pt idx="7">
                  <c:v>1.0908005083392907</c:v>
                </c:pt>
                <c:pt idx="8">
                  <c:v>1.2726005930625057</c:v>
                </c:pt>
                <c:pt idx="9">
                  <c:v>1.4544006777857208</c:v>
                </c:pt>
                <c:pt idx="10">
                  <c:v>1.6362007625089359</c:v>
                </c:pt>
                <c:pt idx="11">
                  <c:v>1.8180008472321509</c:v>
                </c:pt>
                <c:pt idx="12">
                  <c:v>1.999800931955366</c:v>
                </c:pt>
                <c:pt idx="13">
                  <c:v>2.1816010166785813</c:v>
                </c:pt>
                <c:pt idx="14">
                  <c:v>2.3634011014017964</c:v>
                </c:pt>
                <c:pt idx="15">
                  <c:v>2.5452011861250114</c:v>
                </c:pt>
                <c:pt idx="16">
                  <c:v>2.7270012708482265</c:v>
                </c:pt>
                <c:pt idx="17">
                  <c:v>2.9088013555714416</c:v>
                </c:pt>
                <c:pt idx="18">
                  <c:v>3.0906014402946567</c:v>
                </c:pt>
                <c:pt idx="19">
                  <c:v>3.2724015250178717</c:v>
                </c:pt>
                <c:pt idx="20">
                  <c:v>3.4542016097410868</c:v>
                </c:pt>
                <c:pt idx="21">
                  <c:v>3.6360016944643019</c:v>
                </c:pt>
                <c:pt idx="22">
                  <c:v>15.435669792587525</c:v>
                </c:pt>
              </c:numCache>
            </c:numRef>
          </c:xVal>
          <c:yVal>
            <c:numRef>
              <c:f>'WR03-01 CW'!$AJ$15:$AJ$48</c:f>
              <c:numCache>
                <c:formatCode>0.00</c:formatCode>
                <c:ptCount val="34"/>
                <c:pt idx="0">
                  <c:v>-0.1</c:v>
                </c:pt>
                <c:pt idx="1">
                  <c:v>0</c:v>
                </c:pt>
                <c:pt idx="2">
                  <c:v>3.7033526890452326</c:v>
                </c:pt>
                <c:pt idx="3">
                  <c:v>7.1274557023952445</c:v>
                </c:pt>
                <c:pt idx="4">
                  <c:v>10.285636549151359</c:v>
                </c:pt>
                <c:pt idx="5">
                  <c:v>13.19038792513409</c:v>
                </c:pt>
                <c:pt idx="6">
                  <c:v>15.853432069254813</c:v>
                </c:pt>
                <c:pt idx="7">
                  <c:v>18.285779256749915</c:v>
                </c:pt>
                <c:pt idx="8">
                  <c:v>20.49778104313928</c:v>
                </c:pt>
                <c:pt idx="9">
                  <c:v>22.499178800401438</c:v>
                </c:pt>
                <c:pt idx="10">
                  <c:v>24.299148023947069</c:v>
                </c:pt>
                <c:pt idx="11">
                  <c:v>25.906338834166878</c:v>
                </c:pt>
                <c:pt idx="12">
                  <c:v>27.328913048485067</c:v>
                </c:pt>
                <c:pt idx="13">
                  <c:v>28.574578157997518</c:v>
                </c:pt>
                <c:pt idx="14">
                  <c:v>29.650618506091135</c:v>
                </c:pt>
                <c:pt idx="15">
                  <c:v>30.563923934228516</c:v>
                </c:pt>
                <c:pt idx="16">
                  <c:v>31.321016131742159</c:v>
                </c:pt>
                <c:pt idx="17">
                  <c:v>31.928072901505114</c:v>
                </c:pt>
                <c:pt idx="18">
                  <c:v>32.39095053129244</c:v>
                </c:pt>
                <c:pt idx="19">
                  <c:v>32.715204441144159</c:v>
                </c:pt>
                <c:pt idx="20">
                  <c:v>32.906108259762846</c:v>
                </c:pt>
                <c:pt idx="21">
                  <c:v>32.968671467648853</c:v>
                </c:pt>
                <c:pt idx="22">
                  <c:v>28.023370747501527</c:v>
                </c:pt>
              </c:numCache>
            </c:numRef>
          </c:yVal>
          <c:smooth val="1"/>
          <c:extLst xmlns:c15="http://schemas.microsoft.com/office/drawing/2012/chart">
            <c:ext xmlns:c16="http://schemas.microsoft.com/office/drawing/2014/chart" uri="{C3380CC4-5D6E-409C-BE32-E72D297353CC}">
              <c16:uniqueId val="{00000035-CEBA-44C9-A0F9-68912BC41F2E}"/>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CEBA-44C9-A0F9-68912BC41F2E}"/>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37-CEBA-44C9-A0F9-68912BC41F2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CEBA-44C9-A0F9-68912BC41F2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CEBA-44C9-A0F9-68912BC41F2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CEBA-44C9-A0F9-68912BC41F2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CEBA-44C9-A0F9-68912BC41F2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CEBA-44C9-A0F9-68912BC41F2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CEBA-44C9-A0F9-68912BC41F2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CEBA-44C9-A0F9-68912BC41F2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CEBA-44C9-A0F9-68912BC41F2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CEBA-44C9-A0F9-68912BC41F2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CEBA-44C9-A0F9-68912BC41F2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CEBA-44C9-A0F9-68912BC41F2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CEBA-44C9-A0F9-68912BC41F2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CEBA-44C9-A0F9-68912BC41F2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CEBA-44C9-A0F9-68912BC41F2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CEBA-44C9-A0F9-68912BC41F2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CEBA-44C9-A0F9-68912BC41F2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CEBA-44C9-A0F9-68912BC41F2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CEBA-44C9-A0F9-68912BC41F2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CEBA-44C9-A0F9-68912BC41F2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CEBA-44C9-A0F9-68912BC41F2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CEBA-44C9-A0F9-68912BC41F2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 CW'!$AY$15:$AY$47</c:f>
              <c:numCache>
                <c:formatCode>0.00</c:formatCode>
                <c:ptCount val="33"/>
                <c:pt idx="0">
                  <c:v>8.8226189233553072</c:v>
                </c:pt>
                <c:pt idx="1">
                  <c:v>8.8226189233553072</c:v>
                </c:pt>
                <c:pt idx="2">
                  <c:v>8.8226189233553072</c:v>
                </c:pt>
                <c:pt idx="3">
                  <c:v>8.8226189233553072</c:v>
                </c:pt>
                <c:pt idx="4">
                  <c:v>8.8226189233553072</c:v>
                </c:pt>
                <c:pt idx="5">
                  <c:v>8.8226189233553072</c:v>
                </c:pt>
                <c:pt idx="6">
                  <c:v>8.8226189233553072</c:v>
                </c:pt>
                <c:pt idx="7">
                  <c:v>8.8226189233553072</c:v>
                </c:pt>
                <c:pt idx="8">
                  <c:v>8.8226189233553072</c:v>
                </c:pt>
                <c:pt idx="9">
                  <c:v>8.8226189233553072</c:v>
                </c:pt>
                <c:pt idx="10">
                  <c:v>8.8226189233553072</c:v>
                </c:pt>
                <c:pt idx="11">
                  <c:v>8.8226189233553072</c:v>
                </c:pt>
                <c:pt idx="12">
                  <c:v>8.8226189233553072</c:v>
                </c:pt>
                <c:pt idx="13">
                  <c:v>8.8226189233553072</c:v>
                </c:pt>
                <c:pt idx="14">
                  <c:v>8.8226189233553072</c:v>
                </c:pt>
                <c:pt idx="15">
                  <c:v>8.8226189233553072</c:v>
                </c:pt>
                <c:pt idx="16">
                  <c:v>8.8226189233553072</c:v>
                </c:pt>
                <c:pt idx="17">
                  <c:v>8.8226189233553072</c:v>
                </c:pt>
                <c:pt idx="18">
                  <c:v>8.8226189233553072</c:v>
                </c:pt>
                <c:pt idx="19">
                  <c:v>8.8226189233553072</c:v>
                </c:pt>
                <c:pt idx="20">
                  <c:v>8.8226189233553072</c:v>
                </c:pt>
                <c:pt idx="21">
                  <c:v>8.8226189233553072</c:v>
                </c:pt>
                <c:pt idx="22">
                  <c:v>8.8226189233553072</c:v>
                </c:pt>
              </c:numCache>
            </c:numRef>
          </c:xVal>
          <c:yVal>
            <c:numRef>
              <c:f>'WR03-01 CW'!$AI$15:$AI$48</c:f>
              <c:numCache>
                <c:formatCode>0.00</c:formatCode>
                <c:ptCount val="34"/>
                <c:pt idx="0">
                  <c:v>-0.1</c:v>
                </c:pt>
                <c:pt idx="1">
                  <c:v>0</c:v>
                </c:pt>
                <c:pt idx="2">
                  <c:v>6.5353282747857051</c:v>
                </c:pt>
                <c:pt idx="3">
                  <c:v>12.577863004226902</c:v>
                </c:pt>
                <c:pt idx="4">
                  <c:v>18.151123322031811</c:v>
                </c:pt>
                <c:pt idx="5">
                  <c:v>23.277155162001335</c:v>
                </c:pt>
                <c:pt idx="6">
                  <c:v>27.976644828096727</c:v>
                </c:pt>
                <c:pt idx="7">
                  <c:v>32.269022217793967</c:v>
                </c:pt>
                <c:pt idx="8">
                  <c:v>36.172554782010494</c:v>
                </c:pt>
                <c:pt idx="9">
                  <c:v>39.704433177179006</c:v>
                </c:pt>
                <c:pt idx="10">
                  <c:v>42.880849454024244</c:v>
                </c:pt>
                <c:pt idx="11">
                  <c:v>45.717068530882727</c:v>
                </c:pt>
                <c:pt idx="12">
                  <c:v>48.227493614973653</c:v>
                </c:pt>
                <c:pt idx="13">
                  <c:v>50.425726161172086</c:v>
                </c:pt>
                <c:pt idx="14">
                  <c:v>52.324620893102001</c:v>
                </c:pt>
                <c:pt idx="15">
                  <c:v>53.936336354520911</c:v>
                </c:pt>
                <c:pt idx="16">
                  <c:v>55.272381408956754</c:v>
                </c:pt>
                <c:pt idx="17">
                  <c:v>56.343658061479616</c:v>
                </c:pt>
                <c:pt idx="18">
                  <c:v>57.160500937574902</c:v>
                </c:pt>
                <c:pt idx="19">
                  <c:v>57.732713719666165</c:v>
                </c:pt>
                <c:pt idx="20">
                  <c:v>58.069602811346201</c:v>
                </c:pt>
                <c:pt idx="21">
                  <c:v>58.180008472321511</c:v>
                </c:pt>
                <c:pt idx="22">
                  <c:v>49.453007201473284</c:v>
                </c:pt>
              </c:numCache>
            </c:numRef>
          </c:yVal>
          <c:smooth val="1"/>
          <c:extLst xmlns:c15="http://schemas.microsoft.com/office/drawing/2012/chart">
            <c:ext xmlns:c16="http://schemas.microsoft.com/office/drawing/2014/chart" uri="{C3380CC4-5D6E-409C-BE32-E72D297353CC}">
              <c16:uniqueId val="{0000004D-CEBA-44C9-A0F9-68912BC41F2E}"/>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CEBA-44C9-A0F9-68912BC41F2E}"/>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4F-CEBA-44C9-A0F9-68912BC41F2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CEBA-44C9-A0F9-68912BC41F2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CEBA-44C9-A0F9-68912BC41F2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CEBA-44C9-A0F9-68912BC41F2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CEBA-44C9-A0F9-68912BC41F2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CEBA-44C9-A0F9-68912BC41F2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CEBA-44C9-A0F9-68912BC41F2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CEBA-44C9-A0F9-68912BC41F2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CEBA-44C9-A0F9-68912BC41F2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CEBA-44C9-A0F9-68912BC41F2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CEBA-44C9-A0F9-68912BC41F2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CEBA-44C9-A0F9-68912BC41F2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B-CEBA-44C9-A0F9-68912BC41F2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CEBA-44C9-A0F9-68912BC41F2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CEBA-44C9-A0F9-68912BC41F2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CEBA-44C9-A0F9-68912BC41F2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CEBA-44C9-A0F9-68912BC41F2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CEBA-44C9-A0F9-68912BC41F2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CEBA-44C9-A0F9-68912BC41F2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CEBA-44C9-A0F9-68912BC41F2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CEBA-44C9-A0F9-68912BC41F2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CEBA-44C9-A0F9-68912BC41F2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'WR03-01 CW'!$AZ$15:$AZ$47</c:f>
              <c:numCache>
                <c:formatCode>0.00</c:formatCode>
                <c:ptCount val="33"/>
                <c:pt idx="0">
                  <c:v>15.435669792587525</c:v>
                </c:pt>
                <c:pt idx="1">
                  <c:v>15.435669792587525</c:v>
                </c:pt>
                <c:pt idx="2">
                  <c:v>15.435669792587525</c:v>
                </c:pt>
                <c:pt idx="3">
                  <c:v>15.435669792587525</c:v>
                </c:pt>
                <c:pt idx="4">
                  <c:v>15.435669792587525</c:v>
                </c:pt>
                <c:pt idx="5">
                  <c:v>15.435669792587525</c:v>
                </c:pt>
                <c:pt idx="6">
                  <c:v>15.435669792587525</c:v>
                </c:pt>
                <c:pt idx="7">
                  <c:v>15.435669792587525</c:v>
                </c:pt>
                <c:pt idx="8">
                  <c:v>15.435669792587525</c:v>
                </c:pt>
                <c:pt idx="9">
                  <c:v>15.435669792587525</c:v>
                </c:pt>
                <c:pt idx="10">
                  <c:v>15.435669792587525</c:v>
                </c:pt>
                <c:pt idx="11">
                  <c:v>15.435669792587525</c:v>
                </c:pt>
                <c:pt idx="12">
                  <c:v>15.435669792587525</c:v>
                </c:pt>
                <c:pt idx="13">
                  <c:v>15.435669792587525</c:v>
                </c:pt>
                <c:pt idx="14">
                  <c:v>15.435669792587525</c:v>
                </c:pt>
                <c:pt idx="15">
                  <c:v>15.435669792587525</c:v>
                </c:pt>
                <c:pt idx="16">
                  <c:v>15.435669792587525</c:v>
                </c:pt>
                <c:pt idx="17">
                  <c:v>15.435669792587525</c:v>
                </c:pt>
                <c:pt idx="18">
                  <c:v>15.435669792587525</c:v>
                </c:pt>
                <c:pt idx="19">
                  <c:v>15.435669792587525</c:v>
                </c:pt>
                <c:pt idx="20">
                  <c:v>15.435669792587525</c:v>
                </c:pt>
                <c:pt idx="21">
                  <c:v>15.435669792587525</c:v>
                </c:pt>
                <c:pt idx="22">
                  <c:v>15.435669792587525</c:v>
                </c:pt>
              </c:numCache>
            </c:numRef>
          </c:xVal>
          <c:yVal>
            <c:numRef>
              <c:f>'WR03-01 CW'!$AI$15:$AI$48</c:f>
              <c:numCache>
                <c:formatCode>0.00</c:formatCode>
                <c:ptCount val="34"/>
                <c:pt idx="0">
                  <c:v>-0.1</c:v>
                </c:pt>
                <c:pt idx="1">
                  <c:v>0</c:v>
                </c:pt>
                <c:pt idx="2">
                  <c:v>6.5353282747857051</c:v>
                </c:pt>
                <c:pt idx="3">
                  <c:v>12.577863004226902</c:v>
                </c:pt>
                <c:pt idx="4">
                  <c:v>18.151123322031811</c:v>
                </c:pt>
                <c:pt idx="5">
                  <c:v>23.277155162001335</c:v>
                </c:pt>
                <c:pt idx="6">
                  <c:v>27.976644828096727</c:v>
                </c:pt>
                <c:pt idx="7">
                  <c:v>32.269022217793967</c:v>
                </c:pt>
                <c:pt idx="8">
                  <c:v>36.172554782010494</c:v>
                </c:pt>
                <c:pt idx="9">
                  <c:v>39.704433177179006</c:v>
                </c:pt>
                <c:pt idx="10">
                  <c:v>42.880849454024244</c:v>
                </c:pt>
                <c:pt idx="11">
                  <c:v>45.717068530882727</c:v>
                </c:pt>
                <c:pt idx="12">
                  <c:v>48.227493614973653</c:v>
                </c:pt>
                <c:pt idx="13">
                  <c:v>50.425726161172086</c:v>
                </c:pt>
                <c:pt idx="14">
                  <c:v>52.324620893102001</c:v>
                </c:pt>
                <c:pt idx="15">
                  <c:v>53.936336354520911</c:v>
                </c:pt>
                <c:pt idx="16">
                  <c:v>55.272381408956754</c:v>
                </c:pt>
                <c:pt idx="17">
                  <c:v>56.343658061479616</c:v>
                </c:pt>
                <c:pt idx="18">
                  <c:v>57.160500937574902</c:v>
                </c:pt>
                <c:pt idx="19">
                  <c:v>57.732713719666165</c:v>
                </c:pt>
                <c:pt idx="20">
                  <c:v>58.069602811346201</c:v>
                </c:pt>
                <c:pt idx="21">
                  <c:v>58.180008472321511</c:v>
                </c:pt>
                <c:pt idx="22">
                  <c:v>49.453007201473284</c:v>
                </c:pt>
              </c:numCache>
            </c:numRef>
          </c:yVal>
          <c:smooth val="1"/>
          <c:extLst xmlns:c15="http://schemas.microsoft.com/office/drawing/2012/chart">
            <c:ext xmlns:c16="http://schemas.microsoft.com/office/drawing/2014/chart" uri="{C3380CC4-5D6E-409C-BE32-E72D297353CC}">
              <c16:uniqueId val="{00000065-CEBA-44C9-A0F9-68912BC41F2E}"/>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'WR03-01 CW'!$AP$24:$AP$28</c:f>
              <c:numCache>
                <c:formatCode>0.00</c:formatCode>
                <c:ptCount val="5"/>
                <c:pt idx="0">
                  <c:v>-45</c:v>
                </c:pt>
                <c:pt idx="1">
                  <c:v>-2.1739130434782608</c:v>
                </c:pt>
                <c:pt idx="2">
                  <c:v>0</c:v>
                </c:pt>
                <c:pt idx="3">
                  <c:v>2.1739130434782608</c:v>
                </c:pt>
                <c:pt idx="4">
                  <c:v>45</c:v>
                </c:pt>
              </c:numCache>
            </c:numRef>
          </c:xVal>
          <c:yVal>
            <c:numRef>
              <c:f>'WR03-01 CW'!$AQ$24:$AQ$28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89F1-40EE-AC1C-60610A0369FA}"/>
            </c:ext>
          </c:extLst>
        </c:ser>
        <c:ser>
          <c:idx val="1"/>
          <c:order val="1"/>
          <c:tx>
            <c:v>RFT - Without Hardening [C]</c:v>
          </c:tx>
          <c:spPr>
            <a:ln w="19050" cap="rnd">
              <a:solidFill>
                <a:schemeClr val="accent2"/>
              </a:solidFill>
              <a:round/>
            </a:ln>
            <a:effectLst/>
          </c:spPr>
          <c:marker>
            <c:symbol val="none"/>
          </c:marker>
          <c:xVal>
            <c:numRef>
              <c:f>'WR03-01 CW'!$AP$15:$AP$19</c:f>
              <c:numCache>
                <c:formatCode>0.00</c:formatCode>
                <c:ptCount val="5"/>
                <c:pt idx="0">
                  <c:v>-45</c:v>
                </c:pt>
                <c:pt idx="1">
                  <c:v>-2.5</c:v>
                </c:pt>
                <c:pt idx="2">
                  <c:v>0</c:v>
                </c:pt>
                <c:pt idx="3">
                  <c:v>2.5</c:v>
                </c:pt>
                <c:pt idx="4">
                  <c:v>45</c:v>
                </c:pt>
              </c:numCache>
            </c:numRef>
          </c:xVal>
          <c:yVal>
            <c:numRef>
              <c:f>'WR03-01 CW'!$AQ$15:$AQ$19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1-89F1-40EE-AC1C-60610A0369FA}"/>
            </c:ext>
          </c:extLst>
        </c:ser>
        <c:ser>
          <c:idx val="2"/>
          <c:order val="2"/>
          <c:tx>
            <c:v>RFT - With Hardening [D]</c:v>
          </c:tx>
          <c:spPr>
            <a:ln w="19050" cap="rnd">
              <a:solidFill>
                <a:schemeClr val="accent3"/>
              </a:solidFill>
              <a:round/>
            </a:ln>
            <a:effectLst/>
          </c:spPr>
          <c:marker>
            <c:symbol val="none"/>
          </c:marker>
          <c:xVal>
            <c:numRef>
              <c:f>'WR03-01 CW'!$AS$24:$AS$28</c:f>
              <c:numCache>
                <c:formatCode>0.00</c:formatCode>
                <c:ptCount val="5"/>
                <c:pt idx="0">
                  <c:v>-45</c:v>
                </c:pt>
                <c:pt idx="1">
                  <c:v>-2.1739130434782612</c:v>
                </c:pt>
                <c:pt idx="2">
                  <c:v>0</c:v>
                </c:pt>
                <c:pt idx="3">
                  <c:v>2.1739130434782612</c:v>
                </c:pt>
                <c:pt idx="4">
                  <c:v>45</c:v>
                </c:pt>
              </c:numCache>
            </c:numRef>
          </c:xVal>
          <c:yVal>
            <c:numRef>
              <c:f>'WR03-01 CW'!$AT$24:$AT$28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89F1-40EE-AC1C-60610A0369FA}"/>
            </c:ext>
          </c:extLst>
        </c:ser>
        <c:ser>
          <c:idx val="3"/>
          <c:order val="3"/>
          <c:tx>
            <c:v>RFT - With Hardening [C]</c:v>
          </c:tx>
          <c:spPr>
            <a:ln w="19050" cap="rnd">
              <a:solidFill>
                <a:schemeClr val="accent4"/>
              </a:solidFill>
              <a:round/>
            </a:ln>
            <a:effectLst/>
          </c:spPr>
          <c:marker>
            <c:symbol val="none"/>
          </c:marker>
          <c:xVal>
            <c:numRef>
              <c:f>'WR03-01 CW'!$AS$15:$AS$19</c:f>
              <c:numCache>
                <c:formatCode>0.00</c:formatCode>
                <c:ptCount val="5"/>
                <c:pt idx="0">
                  <c:v>-45</c:v>
                </c:pt>
                <c:pt idx="1">
                  <c:v>-2.5</c:v>
                </c:pt>
                <c:pt idx="2">
                  <c:v>0</c:v>
                </c:pt>
                <c:pt idx="3">
                  <c:v>2.5</c:v>
                </c:pt>
                <c:pt idx="4">
                  <c:v>45</c:v>
                </c:pt>
              </c:numCache>
            </c:numRef>
          </c:xVal>
          <c:yVal>
            <c:numRef>
              <c:f>'WR03-01 CW'!$AT$15:$AT$19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3-89F1-40EE-AC1C-60610A0369FA}"/>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4DBF-4FB6-81BB-96B719E4BA0A}"/>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4DBF-4FB6-81BB-96B719E4BA0A}"/>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4DBF-4FB6-81BB-96B719E4BA0A}"/>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4DBF-4FB6-81BB-96B719E4BA0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4DBF-4FB6-81BB-96B719E4BA0A}"/>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4DBF-4FB6-81BB-96B719E4BA0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4DBF-4FB6-81BB-96B719E4BA0A}"/>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4DBF-4FB6-81BB-96B719E4BA0A}"/>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4DBF-4FB6-81BB-96B719E4BA0A}"/>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4DBF-4FB6-81BB-96B719E4BA0A}"/>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4DBF-4FB6-81BB-96B719E4BA0A}"/>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4DBF-4FB6-81BB-96B719E4BA0A}"/>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4DBF-4FB6-81BB-96B719E4BA0A}"/>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4DBF-4FB6-81BB-96B719E4BA0A}"/>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4DBF-4FB6-81BB-96B719E4BA0A}"/>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4DBF-4FB6-81BB-96B719E4BA0A}"/>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4DBF-4FB6-81BB-96B719E4BA0A}"/>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4DBF-4FB6-81BB-96B719E4BA0A}"/>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4DBF-4FB6-81BB-96B719E4BA0A}"/>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4DBF-4FB6-81BB-96B719E4BA0A}"/>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4DBF-4FB6-81BB-96B719E4BA0A}"/>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4DBF-4FB6-81BB-96B719E4BA0A}"/>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4DBF-4FB6-81BB-96B719E4BA0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'WR03-05 CW'!$AV$15:$AV$47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numRef>
          </c:xVal>
          <c:yVal>
            <c:numRef>
              <c:f>'WR03-05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0"/>
          <c:extLst xmlns:c15="http://schemas.microsoft.com/office/drawing/2012/chart">
            <c:ext xmlns:c16="http://schemas.microsoft.com/office/drawing/2014/chart" uri="{C3380CC4-5D6E-409C-BE32-E72D297353CC}">
              <c16:uniqueId val="{00000017-4DBF-4FB6-81BB-96B719E4BA0A}"/>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4DBF-4FB6-81BB-96B719E4BA0A}"/>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9-4DBF-4FB6-81BB-96B719E4BA0A}"/>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4DBF-4FB6-81BB-96B719E4BA0A}"/>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4DBF-4FB6-81BB-96B719E4BA0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4DBF-4FB6-81BB-96B719E4BA0A}"/>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4DBF-4FB6-81BB-96B719E4BA0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4DBF-4FB6-81BB-96B719E4BA0A}"/>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4DBF-4FB6-81BB-96B719E4BA0A}"/>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4DBF-4FB6-81BB-96B719E4BA0A}"/>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4DBF-4FB6-81BB-96B719E4BA0A}"/>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4DBF-4FB6-81BB-96B719E4BA0A}"/>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4DBF-4FB6-81BB-96B719E4BA0A}"/>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4DBF-4FB6-81BB-96B719E4BA0A}"/>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4DBF-4FB6-81BB-96B719E4BA0A}"/>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4DBF-4FB6-81BB-96B719E4BA0A}"/>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4DBF-4FB6-81BB-96B719E4BA0A}"/>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4DBF-4FB6-81BB-96B719E4BA0A}"/>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4DBF-4FB6-81BB-96B719E4BA0A}"/>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4DBF-4FB6-81BB-96B719E4BA0A}"/>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4DBF-4FB6-81BB-96B719E4BA0A}"/>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4DBF-4FB6-81BB-96B719E4BA0A}"/>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4DBF-4FB6-81BB-96B719E4BA0A}"/>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E-4DBF-4FB6-81BB-96B719E4BA0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'WR03-05 CW'!$AX$15:$AX$47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numRef>
          </c:xVal>
          <c:yVal>
            <c:numRef>
              <c:f>'WR03-05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0"/>
          <c:extLst xmlns:c15="http://schemas.microsoft.com/office/drawing/2012/chart">
            <c:ext xmlns:c16="http://schemas.microsoft.com/office/drawing/2014/chart" uri="{C3380CC4-5D6E-409C-BE32-E72D297353CC}">
              <c16:uniqueId val="{0000002F-4DBF-4FB6-81BB-96B719E4BA0A}"/>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'WR03-05 CW'!$AL$15:$AL$48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'WR03-05 CW'!$AM$15:$AM$48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numRef>
          </c:yVal>
          <c:smooth val="1"/>
          <c:extLst xmlns:c15="http://schemas.microsoft.com/office/drawing/2012/chart">
            <c:ext xmlns:c16="http://schemas.microsoft.com/office/drawing/2014/chart" uri="{C3380CC4-5D6E-409C-BE32-E72D297353CC}">
              <c16:uniqueId val="{00000030-4DBF-4FB6-81BB-96B719E4BA0A}"/>
            </c:ext>
          </c:extLst>
        </c:ser>
        <c:ser>
          <c:idx val="1"/>
          <c:order val="1"/>
          <c:tx>
            <c:v>CC - EC2 - [C]</c:v>
          </c:tx>
          <c:spPr>
            <a:ln w="19050" cap="rnd">
              <a:solidFill>
                <a:schemeClr val="accent2"/>
              </a:solidFill>
              <a:round/>
            </a:ln>
            <a:effectLst/>
          </c:spPr>
          <c:marker>
            <c:symbol val="none"/>
          </c:marker>
          <c:xVal>
            <c:numRef>
              <c:f>'WR03-05 CW'!$AB$15:$AB$48</c:f>
              <c:numCache>
                <c:formatCode>0.00</c:formatCode>
                <c:ptCount val="34"/>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'WR03-05 CW'!$AD$15:$AD$48</c:f>
              <c:numCache>
                <c:formatCode>0.00</c:formatCode>
                <c:ptCount val="34"/>
                <c:pt idx="0">
                  <c:v>-0.1</c:v>
                </c:pt>
                <c:pt idx="1">
                  <c:v>0</c:v>
                </c:pt>
                <c:pt idx="2">
                  <c:v>5.6260112035289103</c:v>
                </c:pt>
                <c:pt idx="3">
                  <c:v>10.96350901200505</c:v>
                </c:pt>
                <c:pt idx="4">
                  <c:v>16.012493425428435</c:v>
                </c:pt>
                <c:pt idx="5">
                  <c:v>20.772964443799051</c:v>
                </c:pt>
                <c:pt idx="6">
                  <c:v>25.244922067116896</c:v>
                </c:pt>
                <c:pt idx="7">
                  <c:v>29.428366295381984</c:v>
                </c:pt>
                <c:pt idx="8">
                  <c:v>33.323297128594312</c:v>
                </c:pt>
                <c:pt idx="9">
                  <c:v>36.929714566753859</c:v>
                </c:pt>
                <c:pt idx="10">
                  <c:v>40.247618609860652</c:v>
                </c:pt>
                <c:pt idx="11">
                  <c:v>43.277009257914678</c:v>
                </c:pt>
                <c:pt idx="12">
                  <c:v>46.01788651091595</c:v>
                </c:pt>
                <c:pt idx="13">
                  <c:v>48.470250368864441</c:v>
                </c:pt>
                <c:pt idx="14">
                  <c:v>50.634100831760179</c:v>
                </c:pt>
                <c:pt idx="15">
                  <c:v>52.509437899603142</c:v>
                </c:pt>
                <c:pt idx="16">
                  <c:v>54.096261572393352</c:v>
                </c:pt>
                <c:pt idx="17">
                  <c:v>55.394571850130788</c:v>
                </c:pt>
                <c:pt idx="18">
                  <c:v>56.40436873281547</c:v>
                </c:pt>
                <c:pt idx="19">
                  <c:v>57.125652220447378</c:v>
                </c:pt>
                <c:pt idx="20">
                  <c:v>57.558422313026519</c:v>
                </c:pt>
                <c:pt idx="21">
                  <c:v>57.702679010552906</c:v>
                </c:pt>
                <c:pt idx="22">
                  <c:v>49.047277158969969</c:v>
                </c:pt>
              </c:numCache>
            </c:numRef>
          </c:yVal>
          <c:smooth val="1"/>
          <c:extLst>
            <c:ext xmlns:c16="http://schemas.microsoft.com/office/drawing/2014/chart" uri="{C3380CC4-5D6E-409C-BE32-E72D297353CC}">
              <c16:uniqueId val="{00000031-4DBF-4FB6-81BB-96B719E4BA0A}"/>
            </c:ext>
          </c:extLst>
        </c:ser>
        <c:ser>
          <c:idx val="2"/>
          <c:order val="2"/>
          <c:tx>
            <c:v>CC - EC8 - [C]</c:v>
          </c:tx>
          <c:spPr>
            <a:ln w="19050" cap="rnd">
              <a:solidFill>
                <a:schemeClr val="accent3"/>
              </a:solidFill>
              <a:round/>
            </a:ln>
            <a:effectLst/>
          </c:spPr>
          <c:marker>
            <c:symbol val="none"/>
          </c:marker>
          <c:xVal>
            <c:numRef>
              <c:f>'WR03-05 CW'!$AG$15:$AG$48</c:f>
              <c:numCache>
                <c:formatCode>0.00</c:formatCode>
                <c:ptCount val="34"/>
                <c:pt idx="0">
                  <c:v>-0.1</c:v>
                </c:pt>
                <c:pt idx="1">
                  <c:v>0</c:v>
                </c:pt>
                <c:pt idx="2">
                  <c:v>0.19278019245676317</c:v>
                </c:pt>
                <c:pt idx="3">
                  <c:v>0.38556038491352634</c:v>
                </c:pt>
                <c:pt idx="4">
                  <c:v>0.57834057737028954</c:v>
                </c:pt>
                <c:pt idx="5">
                  <c:v>0.77112076982705269</c:v>
                </c:pt>
                <c:pt idx="6">
                  <c:v>0.96390096228381583</c:v>
                </c:pt>
                <c:pt idx="7">
                  <c:v>1.1566811547405791</c:v>
                </c:pt>
                <c:pt idx="8">
                  <c:v>1.3494613471973422</c:v>
                </c:pt>
                <c:pt idx="9">
                  <c:v>1.5422415396541054</c:v>
                </c:pt>
                <c:pt idx="10">
                  <c:v>1.7350217321108685</c:v>
                </c:pt>
                <c:pt idx="11">
                  <c:v>1.9278019245676317</c:v>
                </c:pt>
                <c:pt idx="12">
                  <c:v>2.1205821170243948</c:v>
                </c:pt>
                <c:pt idx="13">
                  <c:v>2.3133623094811582</c:v>
                </c:pt>
                <c:pt idx="14">
                  <c:v>2.5061425019379215</c:v>
                </c:pt>
                <c:pt idx="15">
                  <c:v>2.6989226943946849</c:v>
                </c:pt>
                <c:pt idx="16">
                  <c:v>2.8917028868514483</c:v>
                </c:pt>
                <c:pt idx="17">
                  <c:v>3.0844830793082116</c:v>
                </c:pt>
                <c:pt idx="18">
                  <c:v>3.277263271764975</c:v>
                </c:pt>
                <c:pt idx="19">
                  <c:v>3.4700434642217384</c:v>
                </c:pt>
                <c:pt idx="20">
                  <c:v>3.6628236566785017</c:v>
                </c:pt>
                <c:pt idx="21">
                  <c:v>3.8556038491352651</c:v>
                </c:pt>
                <c:pt idx="22">
                  <c:v>16.994157207968332</c:v>
                </c:pt>
              </c:numCache>
            </c:numRef>
          </c:xVal>
          <c:yVal>
            <c:numRef>
              <c:f>'WR03-05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32-4DBF-4FB6-81BB-96B719E4BA0A}"/>
            </c:ext>
          </c:extLst>
        </c:ser>
        <c:ser>
          <c:idx val="3"/>
          <c:order val="3"/>
          <c:tx>
            <c:v>UC - EC2 - [D]</c:v>
          </c:tx>
          <c:spPr>
            <a:ln w="19050" cap="rnd">
              <a:solidFill>
                <a:schemeClr val="accent4"/>
              </a:solidFill>
              <a:round/>
            </a:ln>
            <a:effectLst/>
          </c:spPr>
          <c:marker>
            <c:symbol val="none"/>
          </c:marker>
          <c:xVal>
            <c:numRef>
              <c:f>'WR03-05 CW'!$AL$15:$AL$48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'WR03-05 CW'!$AN$15:$AN$48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xmlns:c15="http://schemas.microsoft.com/office/drawing/2012/chart">
            <c:ext xmlns:c16="http://schemas.microsoft.com/office/drawing/2014/chart" uri="{C3380CC4-5D6E-409C-BE32-E72D297353CC}">
              <c16:uniqueId val="{00000033-4DBF-4FB6-81BB-96B719E4BA0A}"/>
            </c:ext>
          </c:extLst>
        </c:ser>
        <c:ser>
          <c:idx val="4"/>
          <c:order val="4"/>
          <c:tx>
            <c:v>CC - EC2 - [D]</c:v>
          </c:tx>
          <c:spPr>
            <a:ln w="19050" cap="rnd">
              <a:solidFill>
                <a:schemeClr val="accent5"/>
              </a:solidFill>
              <a:round/>
            </a:ln>
            <a:effectLst/>
          </c:spPr>
          <c:marker>
            <c:symbol val="none"/>
          </c:marker>
          <c:xVal>
            <c:numRef>
              <c:f>'WR03-05 CW'!$AB$15:$AB$48</c:f>
              <c:numCache>
                <c:formatCode>0.00</c:formatCode>
                <c:ptCount val="34"/>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'WR03-05 CW'!$AE$15:$AE$48</c:f>
              <c:numCache>
                <c:formatCode>0.00</c:formatCode>
                <c:ptCount val="34"/>
                <c:pt idx="0">
                  <c:v>-0.1</c:v>
                </c:pt>
                <c:pt idx="1">
                  <c:v>0</c:v>
                </c:pt>
                <c:pt idx="2">
                  <c:v>3.1880730153330492</c:v>
                </c:pt>
                <c:pt idx="3">
                  <c:v>6.2126551068028606</c:v>
                </c:pt>
                <c:pt idx="4">
                  <c:v>9.0737462744094461</c:v>
                </c:pt>
                <c:pt idx="5">
                  <c:v>11.771346518152795</c:v>
                </c:pt>
                <c:pt idx="6">
                  <c:v>14.305455838032907</c:v>
                </c:pt>
                <c:pt idx="7">
                  <c:v>16.676074234049789</c:v>
                </c:pt>
                <c:pt idx="8">
                  <c:v>18.883201706203444</c:v>
                </c:pt>
                <c:pt idx="9">
                  <c:v>20.926838254493852</c:v>
                </c:pt>
                <c:pt idx="10">
                  <c:v>22.806983878921034</c:v>
                </c:pt>
                <c:pt idx="11">
                  <c:v>24.523638579484984</c:v>
                </c:pt>
                <c:pt idx="12">
                  <c:v>26.076802356185706</c:v>
                </c:pt>
                <c:pt idx="13">
                  <c:v>27.466475209023184</c:v>
                </c:pt>
                <c:pt idx="14">
                  <c:v>28.692657137997433</c:v>
                </c:pt>
                <c:pt idx="15">
                  <c:v>29.755348143108446</c:v>
                </c:pt>
                <c:pt idx="16">
                  <c:v>30.654548224356233</c:v>
                </c:pt>
                <c:pt idx="17">
                  <c:v>31.390257381740781</c:v>
                </c:pt>
                <c:pt idx="18">
                  <c:v>31.962475615262097</c:v>
                </c:pt>
                <c:pt idx="19">
                  <c:v>32.371202924920176</c:v>
                </c:pt>
                <c:pt idx="20">
                  <c:v>32.61643931071503</c:v>
                </c:pt>
                <c:pt idx="21">
                  <c:v>32.698184772646648</c:v>
                </c:pt>
                <c:pt idx="22">
                  <c:v>27.793457056749649</c:v>
                </c:pt>
              </c:numCache>
            </c:numRef>
          </c:yVal>
          <c:smooth val="1"/>
          <c:extLst xmlns:c15="http://schemas.microsoft.com/office/drawing/2012/chart">
            <c:ext xmlns:c16="http://schemas.microsoft.com/office/drawing/2014/chart" uri="{C3380CC4-5D6E-409C-BE32-E72D297353CC}">
              <c16:uniqueId val="{00000034-4DBF-4FB6-81BB-96B719E4BA0A}"/>
            </c:ext>
          </c:extLst>
        </c:ser>
        <c:ser>
          <c:idx val="5"/>
          <c:order val="5"/>
          <c:tx>
            <c:v>CC - EC8 - [D]</c:v>
          </c:tx>
          <c:spPr>
            <a:ln w="19050" cap="rnd">
              <a:solidFill>
                <a:schemeClr val="accent6"/>
              </a:solidFill>
              <a:round/>
            </a:ln>
            <a:effectLst/>
          </c:spPr>
          <c:marker>
            <c:symbol val="none"/>
          </c:marker>
          <c:xVal>
            <c:numRef>
              <c:f>'WR03-05 CW'!$AG$15:$AG$48</c:f>
              <c:numCache>
                <c:formatCode>0.00</c:formatCode>
                <c:ptCount val="34"/>
                <c:pt idx="0">
                  <c:v>-0.1</c:v>
                </c:pt>
                <c:pt idx="1">
                  <c:v>0</c:v>
                </c:pt>
                <c:pt idx="2">
                  <c:v>0.19278019245676317</c:v>
                </c:pt>
                <c:pt idx="3">
                  <c:v>0.38556038491352634</c:v>
                </c:pt>
                <c:pt idx="4">
                  <c:v>0.57834057737028954</c:v>
                </c:pt>
                <c:pt idx="5">
                  <c:v>0.77112076982705269</c:v>
                </c:pt>
                <c:pt idx="6">
                  <c:v>0.96390096228381583</c:v>
                </c:pt>
                <c:pt idx="7">
                  <c:v>1.1566811547405791</c:v>
                </c:pt>
                <c:pt idx="8">
                  <c:v>1.3494613471973422</c:v>
                </c:pt>
                <c:pt idx="9">
                  <c:v>1.5422415396541054</c:v>
                </c:pt>
                <c:pt idx="10">
                  <c:v>1.7350217321108685</c:v>
                </c:pt>
                <c:pt idx="11">
                  <c:v>1.9278019245676317</c:v>
                </c:pt>
                <c:pt idx="12">
                  <c:v>2.1205821170243948</c:v>
                </c:pt>
                <c:pt idx="13">
                  <c:v>2.3133623094811582</c:v>
                </c:pt>
                <c:pt idx="14">
                  <c:v>2.5061425019379215</c:v>
                </c:pt>
                <c:pt idx="15">
                  <c:v>2.6989226943946849</c:v>
                </c:pt>
                <c:pt idx="16">
                  <c:v>2.8917028868514483</c:v>
                </c:pt>
                <c:pt idx="17">
                  <c:v>3.0844830793082116</c:v>
                </c:pt>
                <c:pt idx="18">
                  <c:v>3.277263271764975</c:v>
                </c:pt>
                <c:pt idx="19">
                  <c:v>3.4700434642217384</c:v>
                </c:pt>
                <c:pt idx="20">
                  <c:v>3.6628236566785017</c:v>
                </c:pt>
                <c:pt idx="21">
                  <c:v>3.8556038491352651</c:v>
                </c:pt>
                <c:pt idx="22">
                  <c:v>16.994157207968332</c:v>
                </c:pt>
              </c:numCache>
            </c:numRef>
          </c:xVal>
          <c:yVal>
            <c:numRef>
              <c:f>'WR03-05 CW'!$AJ$15:$AJ$48</c:f>
              <c:numCache>
                <c:formatCode>0.00</c:formatCode>
                <c:ptCount val="34"/>
                <c:pt idx="0">
                  <c:v>-0.1</c:v>
                </c:pt>
                <c:pt idx="1">
                  <c:v>0</c:v>
                </c:pt>
                <c:pt idx="2">
                  <c:v>3.9120874126622325</c:v>
                </c:pt>
                <c:pt idx="3">
                  <c:v>7.5021193297512587</c:v>
                </c:pt>
                <c:pt idx="4">
                  <c:v>10.789577584941327</c:v>
                </c:pt>
                <c:pt idx="5">
                  <c:v>13.792403739030604</c:v>
                </c:pt>
                <c:pt idx="6">
                  <c:v>16.52714835085834</c:v>
                </c:pt>
                <c:pt idx="7">
                  <c:v>19.009103218919808</c:v>
                </c:pt>
                <c:pt idx="8">
                  <c:v>21.252418817937492</c:v>
                </c:pt>
                <c:pt idx="9">
                  <c:v>23.270208828707094</c:v>
                </c:pt>
                <c:pt idx="10">
                  <c:v>25.074643386364873</c:v>
                </c:pt>
                <c:pt idx="11">
                  <c:v>26.677032442491939</c:v>
                </c:pt>
                <c:pt idx="12">
                  <c:v>28.087900442640862</c:v>
                </c:pt>
                <c:pt idx="13">
                  <c:v>29.317053356811893</c:v>
                </c:pt>
                <c:pt idx="14">
                  <c:v>30.373638961124698</c:v>
                </c:pt>
                <c:pt idx="15">
                  <c:v>31.266201150338034</c:v>
                </c:pt>
                <c:pt idx="16">
                  <c:v>32.00272895960498</c:v>
                </c:pt>
                <c:pt idx="17">
                  <c:v>32.590700887146895</c:v>
                </c:pt>
                <c:pt idx="18">
                  <c:v>33.037125035096054</c:v>
                </c:pt>
                <c:pt idx="19">
                  <c:v>33.348575521694144</c:v>
                </c:pt>
                <c:pt idx="20">
                  <c:v>33.531225562761584</c:v>
                </c:pt>
                <c:pt idx="21">
                  <c:v>33.590877572549914</c:v>
                </c:pt>
                <c:pt idx="22">
                  <c:v>28.552245936667429</c:v>
                </c:pt>
              </c:numCache>
            </c:numRef>
          </c:yVal>
          <c:smooth val="1"/>
          <c:extLst xmlns:c15="http://schemas.microsoft.com/office/drawing/2012/chart">
            <c:ext xmlns:c16="http://schemas.microsoft.com/office/drawing/2014/chart" uri="{C3380CC4-5D6E-409C-BE32-E72D297353CC}">
              <c16:uniqueId val="{00000035-4DBF-4FB6-81BB-96B719E4BA0A}"/>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4DBF-4FB6-81BB-96B719E4BA0A}"/>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37-4DBF-4FB6-81BB-96B719E4BA0A}"/>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4DBF-4FB6-81BB-96B719E4BA0A}"/>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4DBF-4FB6-81BB-96B719E4BA0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4DBF-4FB6-81BB-96B719E4BA0A}"/>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4DBF-4FB6-81BB-96B719E4BA0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4DBF-4FB6-81BB-96B719E4BA0A}"/>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4DBF-4FB6-81BB-96B719E4BA0A}"/>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4DBF-4FB6-81BB-96B719E4BA0A}"/>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4DBF-4FB6-81BB-96B719E4BA0A}"/>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4DBF-4FB6-81BB-96B719E4BA0A}"/>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4DBF-4FB6-81BB-96B719E4BA0A}"/>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4DBF-4FB6-81BB-96B719E4BA0A}"/>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4DBF-4FB6-81BB-96B719E4BA0A}"/>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4DBF-4FB6-81BB-96B719E4BA0A}"/>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4DBF-4FB6-81BB-96B719E4BA0A}"/>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4DBF-4FB6-81BB-96B719E4BA0A}"/>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4DBF-4FB6-81BB-96B719E4BA0A}"/>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4DBF-4FB6-81BB-96B719E4BA0A}"/>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4DBF-4FB6-81BB-96B719E4BA0A}"/>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4DBF-4FB6-81BB-96B719E4BA0A}"/>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4DBF-4FB6-81BB-96B719E4BA0A}"/>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4DBF-4FB6-81BB-96B719E4BA0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'WR03-05 CW'!$AY$15:$AY$47</c:f>
              <c:numCache>
                <c:formatCode>0.00</c:formatCode>
                <c:ptCount val="33"/>
                <c:pt idx="0">
                  <c:v>9.6621432084423251</c:v>
                </c:pt>
                <c:pt idx="1">
                  <c:v>9.6621432084423251</c:v>
                </c:pt>
                <c:pt idx="2">
                  <c:v>9.6621432084423251</c:v>
                </c:pt>
                <c:pt idx="3">
                  <c:v>9.6621432084423251</c:v>
                </c:pt>
                <c:pt idx="4">
                  <c:v>9.6621432084423251</c:v>
                </c:pt>
                <c:pt idx="5">
                  <c:v>9.6621432084423251</c:v>
                </c:pt>
                <c:pt idx="6">
                  <c:v>9.6621432084423251</c:v>
                </c:pt>
                <c:pt idx="7">
                  <c:v>9.6621432084423251</c:v>
                </c:pt>
                <c:pt idx="8">
                  <c:v>9.6621432084423251</c:v>
                </c:pt>
                <c:pt idx="9">
                  <c:v>9.6621432084423251</c:v>
                </c:pt>
                <c:pt idx="10">
                  <c:v>9.6621432084423251</c:v>
                </c:pt>
                <c:pt idx="11">
                  <c:v>9.6621432084423251</c:v>
                </c:pt>
                <c:pt idx="12">
                  <c:v>9.6621432084423251</c:v>
                </c:pt>
                <c:pt idx="13">
                  <c:v>9.6621432084423251</c:v>
                </c:pt>
                <c:pt idx="14">
                  <c:v>9.6621432084423251</c:v>
                </c:pt>
                <c:pt idx="15">
                  <c:v>9.6621432084423251</c:v>
                </c:pt>
                <c:pt idx="16">
                  <c:v>9.6621432084423251</c:v>
                </c:pt>
                <c:pt idx="17">
                  <c:v>9.6621432084423251</c:v>
                </c:pt>
                <c:pt idx="18">
                  <c:v>9.6621432084423251</c:v>
                </c:pt>
                <c:pt idx="19">
                  <c:v>9.6621432084423251</c:v>
                </c:pt>
                <c:pt idx="20">
                  <c:v>9.6621432084423251</c:v>
                </c:pt>
                <c:pt idx="21">
                  <c:v>9.6621432084423251</c:v>
                </c:pt>
                <c:pt idx="22">
                  <c:v>9.6621432084423251</c:v>
                </c:pt>
              </c:numCache>
            </c:numRef>
          </c:xVal>
          <c:yVal>
            <c:numRef>
              <c:f>'WR03-05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4D-4DBF-4FB6-81BB-96B719E4BA0A}"/>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4DBF-4FB6-81BB-96B719E4BA0A}"/>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4F-4DBF-4FB6-81BB-96B719E4BA0A}"/>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4DBF-4FB6-81BB-96B719E4BA0A}"/>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4DBF-4FB6-81BB-96B719E4BA0A}"/>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4DBF-4FB6-81BB-96B719E4BA0A}"/>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4DBF-4FB6-81BB-96B719E4BA0A}"/>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4DBF-4FB6-81BB-96B719E4BA0A}"/>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4DBF-4FB6-81BB-96B719E4BA0A}"/>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4DBF-4FB6-81BB-96B719E4BA0A}"/>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4DBF-4FB6-81BB-96B719E4BA0A}"/>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4DBF-4FB6-81BB-96B719E4BA0A}"/>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4DBF-4FB6-81BB-96B719E4BA0A}"/>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4DBF-4FB6-81BB-96B719E4BA0A}"/>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B-4DBF-4FB6-81BB-96B719E4BA0A}"/>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4DBF-4FB6-81BB-96B719E4BA0A}"/>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4DBF-4FB6-81BB-96B719E4BA0A}"/>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4DBF-4FB6-81BB-96B719E4BA0A}"/>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4DBF-4FB6-81BB-96B719E4BA0A}"/>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4DBF-4FB6-81BB-96B719E4BA0A}"/>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4DBF-4FB6-81BB-96B719E4BA0A}"/>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4DBF-4FB6-81BB-96B719E4BA0A}"/>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4DBF-4FB6-81BB-96B719E4BA0A}"/>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4DBF-4FB6-81BB-96B719E4BA0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'WR03-05 CW'!$AZ$15:$AZ$47</c:f>
              <c:numCache>
                <c:formatCode>0.00</c:formatCode>
                <c:ptCount val="33"/>
                <c:pt idx="0">
                  <c:v>16.994157207968332</c:v>
                </c:pt>
                <c:pt idx="1">
                  <c:v>16.994157207968332</c:v>
                </c:pt>
                <c:pt idx="2">
                  <c:v>16.994157207968332</c:v>
                </c:pt>
                <c:pt idx="3">
                  <c:v>16.994157207968332</c:v>
                </c:pt>
                <c:pt idx="4">
                  <c:v>16.994157207968332</c:v>
                </c:pt>
                <c:pt idx="5">
                  <c:v>16.994157207968332</c:v>
                </c:pt>
                <c:pt idx="6">
                  <c:v>16.994157207968332</c:v>
                </c:pt>
                <c:pt idx="7">
                  <c:v>16.994157207968332</c:v>
                </c:pt>
                <c:pt idx="8">
                  <c:v>16.994157207968332</c:v>
                </c:pt>
                <c:pt idx="9">
                  <c:v>16.994157207968332</c:v>
                </c:pt>
                <c:pt idx="10">
                  <c:v>16.994157207968332</c:v>
                </c:pt>
                <c:pt idx="11">
                  <c:v>16.994157207968332</c:v>
                </c:pt>
                <c:pt idx="12">
                  <c:v>16.994157207968332</c:v>
                </c:pt>
                <c:pt idx="13">
                  <c:v>16.994157207968332</c:v>
                </c:pt>
                <c:pt idx="14">
                  <c:v>16.994157207968332</c:v>
                </c:pt>
                <c:pt idx="15">
                  <c:v>16.994157207968332</c:v>
                </c:pt>
                <c:pt idx="16">
                  <c:v>16.994157207968332</c:v>
                </c:pt>
                <c:pt idx="17">
                  <c:v>16.994157207968332</c:v>
                </c:pt>
                <c:pt idx="18">
                  <c:v>16.994157207968332</c:v>
                </c:pt>
                <c:pt idx="19">
                  <c:v>16.994157207968332</c:v>
                </c:pt>
                <c:pt idx="20">
                  <c:v>16.994157207968332</c:v>
                </c:pt>
                <c:pt idx="21">
                  <c:v>16.994157207968332</c:v>
                </c:pt>
                <c:pt idx="22">
                  <c:v>16.994157207968332</c:v>
                </c:pt>
              </c:numCache>
            </c:numRef>
          </c:xVal>
          <c:yVal>
            <c:numRef>
              <c:f>'WR03-05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65-4DBF-4FB6-81BB-96B719E4BA0A}"/>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'WR03-05 CW'!$AP$24:$AP$28</c:f>
              <c:numCache>
                <c:formatCode>0.00</c:formatCode>
                <c:ptCount val="5"/>
                <c:pt idx="0">
                  <c:v>-45</c:v>
                </c:pt>
                <c:pt idx="1">
                  <c:v>-2.1739130434782608</c:v>
                </c:pt>
                <c:pt idx="2">
                  <c:v>0</c:v>
                </c:pt>
                <c:pt idx="3">
                  <c:v>2.1739130434782608</c:v>
                </c:pt>
                <c:pt idx="4">
                  <c:v>45</c:v>
                </c:pt>
              </c:numCache>
            </c:numRef>
          </c:xVal>
          <c:yVal>
            <c:numRef>
              <c:f>'WR03-05 CW'!$AQ$24:$AQ$28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043B-4B10-AEB3-29666CD69C63}"/>
            </c:ext>
          </c:extLst>
        </c:ser>
        <c:ser>
          <c:idx val="1"/>
          <c:order val="1"/>
          <c:tx>
            <c:v>RFT - Without Hardening [C]</c:v>
          </c:tx>
          <c:spPr>
            <a:ln w="19050" cap="rnd">
              <a:solidFill>
                <a:schemeClr val="accent2"/>
              </a:solidFill>
              <a:round/>
            </a:ln>
            <a:effectLst/>
          </c:spPr>
          <c:marker>
            <c:symbol val="none"/>
          </c:marker>
          <c:xVal>
            <c:numRef>
              <c:f>'WR03-05 CW'!$AP$15:$AP$19</c:f>
              <c:numCache>
                <c:formatCode>0.00</c:formatCode>
                <c:ptCount val="5"/>
                <c:pt idx="0">
                  <c:v>-45</c:v>
                </c:pt>
                <c:pt idx="1">
                  <c:v>-2.5</c:v>
                </c:pt>
                <c:pt idx="2">
                  <c:v>0</c:v>
                </c:pt>
                <c:pt idx="3">
                  <c:v>2.5</c:v>
                </c:pt>
                <c:pt idx="4">
                  <c:v>45</c:v>
                </c:pt>
              </c:numCache>
            </c:numRef>
          </c:xVal>
          <c:yVal>
            <c:numRef>
              <c:f>'WR03-05 CW'!$AQ$15:$AQ$19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1-043B-4B10-AEB3-29666CD69C63}"/>
            </c:ext>
          </c:extLst>
        </c:ser>
        <c:ser>
          <c:idx val="2"/>
          <c:order val="2"/>
          <c:tx>
            <c:v>RFT - With Hardening [D]</c:v>
          </c:tx>
          <c:spPr>
            <a:ln w="19050" cap="rnd">
              <a:solidFill>
                <a:schemeClr val="accent3"/>
              </a:solidFill>
              <a:round/>
            </a:ln>
            <a:effectLst/>
          </c:spPr>
          <c:marker>
            <c:symbol val="none"/>
          </c:marker>
          <c:xVal>
            <c:numRef>
              <c:f>'WR03-05 CW'!$AS$24:$AS$28</c:f>
              <c:numCache>
                <c:formatCode>0.00</c:formatCode>
                <c:ptCount val="5"/>
                <c:pt idx="0">
                  <c:v>-45</c:v>
                </c:pt>
                <c:pt idx="1">
                  <c:v>-2.1739130434782612</c:v>
                </c:pt>
                <c:pt idx="2">
                  <c:v>0</c:v>
                </c:pt>
                <c:pt idx="3">
                  <c:v>2.1739130434782612</c:v>
                </c:pt>
                <c:pt idx="4">
                  <c:v>45</c:v>
                </c:pt>
              </c:numCache>
            </c:numRef>
          </c:xVal>
          <c:yVal>
            <c:numRef>
              <c:f>'WR03-05 CW'!$AT$24:$AT$28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043B-4B10-AEB3-29666CD69C63}"/>
            </c:ext>
          </c:extLst>
        </c:ser>
        <c:ser>
          <c:idx val="3"/>
          <c:order val="3"/>
          <c:tx>
            <c:v>RFT - With Hardening [C]</c:v>
          </c:tx>
          <c:spPr>
            <a:ln w="19050" cap="rnd">
              <a:solidFill>
                <a:schemeClr val="accent4"/>
              </a:solidFill>
              <a:round/>
            </a:ln>
            <a:effectLst/>
          </c:spPr>
          <c:marker>
            <c:symbol val="none"/>
          </c:marker>
          <c:xVal>
            <c:numRef>
              <c:f>'WR03-05 CW'!$AS$15:$AS$19</c:f>
              <c:numCache>
                <c:formatCode>0.00</c:formatCode>
                <c:ptCount val="5"/>
                <c:pt idx="0">
                  <c:v>-45</c:v>
                </c:pt>
                <c:pt idx="1">
                  <c:v>-2.5</c:v>
                </c:pt>
                <c:pt idx="2">
                  <c:v>0</c:v>
                </c:pt>
                <c:pt idx="3">
                  <c:v>2.5</c:v>
                </c:pt>
                <c:pt idx="4">
                  <c:v>45</c:v>
                </c:pt>
              </c:numCache>
            </c:numRef>
          </c:xVal>
          <c:yVal>
            <c:numRef>
              <c:f>'WR03-05 CW'!$AT$15:$AT$19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3-043B-4B10-AEB3-29666CD69C63}"/>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Concrete Properties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6"/>
          <c:order val="6"/>
          <c:tx>
            <c:v>2mm/m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0-1405-43C4-AE80-5BACD8B3D75E}"/>
                </c:ext>
              </c:extLst>
            </c:dLbl>
            <c:dLbl>
              <c:idx val="1"/>
              <c:layout>
                <c:manualLayout>
                  <c:x val="-9.1249564610139486E-2"/>
                  <c:y val="-5.5742172700098638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1405-43C4-AE80-5BACD8B3D75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2-1405-43C4-AE80-5BACD8B3D75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3-1405-43C4-AE80-5BACD8B3D75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4-1405-43C4-AE80-5BACD8B3D75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5-1405-43C4-AE80-5BACD8B3D75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6-1405-43C4-AE80-5BACD8B3D75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7-1405-43C4-AE80-5BACD8B3D75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8-1405-43C4-AE80-5BACD8B3D75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9-1405-43C4-AE80-5BACD8B3D75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1405-43C4-AE80-5BACD8B3D75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B-1405-43C4-AE80-5BACD8B3D75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C-1405-43C4-AE80-5BACD8B3D75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D-1405-43C4-AE80-5BACD8B3D75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E-1405-43C4-AE80-5BACD8B3D75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F-1405-43C4-AE80-5BACD8B3D75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0-1405-43C4-AE80-5BACD8B3D75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1-1405-43C4-AE80-5BACD8B3D75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2-1405-43C4-AE80-5BACD8B3D75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3-1405-43C4-AE80-5BACD8B3D75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4-1405-43C4-AE80-5BACD8B3D75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5-1405-43C4-AE80-5BACD8B3D75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6-1405-43C4-AE80-5BACD8B3D75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'WR03-06 CW'!$AV$15:$AV$47</c:f>
              <c:numCache>
                <c:formatCode>0.00</c:formatCode>
                <c:ptCount val="33"/>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numCache>
            </c:numRef>
          </c:xVal>
          <c:yVal>
            <c:numRef>
              <c:f>'WR03-06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0"/>
          <c:extLst xmlns:c15="http://schemas.microsoft.com/office/drawing/2012/chart">
            <c:ext xmlns:c16="http://schemas.microsoft.com/office/drawing/2014/chart" uri="{C3380CC4-5D6E-409C-BE32-E72D297353CC}">
              <c16:uniqueId val="{00000017-1405-43C4-AE80-5BACD8B3D75E}"/>
            </c:ext>
          </c:extLst>
        </c:ser>
        <c:ser>
          <c:idx val="7"/>
          <c:order val="7"/>
          <c:tx>
            <c:v>3.5mm/m</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8-1405-43C4-AE80-5BACD8B3D75E}"/>
                </c:ext>
              </c:extLst>
            </c:dLbl>
            <c:dLbl>
              <c:idx val="1"/>
              <c:layout>
                <c:manualLayout>
                  <c:x val="3.9250293564582872E-2"/>
                  <c:y val="-4.428608124957968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9-1405-43C4-AE80-5BACD8B3D75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A-1405-43C4-AE80-5BACD8B3D75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B-1405-43C4-AE80-5BACD8B3D75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C-1405-43C4-AE80-5BACD8B3D75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D-1405-43C4-AE80-5BACD8B3D75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E-1405-43C4-AE80-5BACD8B3D75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1F-1405-43C4-AE80-5BACD8B3D75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0-1405-43C4-AE80-5BACD8B3D75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1-1405-43C4-AE80-5BACD8B3D75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2-1405-43C4-AE80-5BACD8B3D75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3-1405-43C4-AE80-5BACD8B3D75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4-1405-43C4-AE80-5BACD8B3D75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5-1405-43C4-AE80-5BACD8B3D75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6-1405-43C4-AE80-5BACD8B3D75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7-1405-43C4-AE80-5BACD8B3D75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8-1405-43C4-AE80-5BACD8B3D75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9-1405-43C4-AE80-5BACD8B3D75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A-1405-43C4-AE80-5BACD8B3D75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B-1405-43C4-AE80-5BACD8B3D75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C-1405-43C4-AE80-5BACD8B3D75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D-1405-43C4-AE80-5BACD8B3D75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2E-1405-43C4-AE80-5BACD8B3D75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'WR03-06 CW'!$AX$15:$AX$47</c:f>
              <c:numCache>
                <c:formatCode>0.00</c:formatCode>
                <c:ptCount val="33"/>
                <c:pt idx="0">
                  <c:v>3.5</c:v>
                </c:pt>
                <c:pt idx="1">
                  <c:v>3.5</c:v>
                </c:pt>
                <c:pt idx="2">
                  <c:v>3.5</c:v>
                </c:pt>
                <c:pt idx="3">
                  <c:v>3.5</c:v>
                </c:pt>
                <c:pt idx="4">
                  <c:v>3.5</c:v>
                </c:pt>
                <c:pt idx="5">
                  <c:v>3.5</c:v>
                </c:pt>
                <c:pt idx="6">
                  <c:v>3.5</c:v>
                </c:pt>
                <c:pt idx="7">
                  <c:v>3.5</c:v>
                </c:pt>
                <c:pt idx="8">
                  <c:v>3.5</c:v>
                </c:pt>
                <c:pt idx="9">
                  <c:v>3.5</c:v>
                </c:pt>
                <c:pt idx="10">
                  <c:v>3.5</c:v>
                </c:pt>
                <c:pt idx="11">
                  <c:v>3.5</c:v>
                </c:pt>
                <c:pt idx="12">
                  <c:v>3.5</c:v>
                </c:pt>
                <c:pt idx="13">
                  <c:v>3.5</c:v>
                </c:pt>
                <c:pt idx="14">
                  <c:v>3.5</c:v>
                </c:pt>
                <c:pt idx="15">
                  <c:v>3.5</c:v>
                </c:pt>
                <c:pt idx="16">
                  <c:v>3.5</c:v>
                </c:pt>
                <c:pt idx="17">
                  <c:v>3.5</c:v>
                </c:pt>
                <c:pt idx="18">
                  <c:v>3.5</c:v>
                </c:pt>
                <c:pt idx="19">
                  <c:v>3.5</c:v>
                </c:pt>
                <c:pt idx="20">
                  <c:v>3.5</c:v>
                </c:pt>
                <c:pt idx="21">
                  <c:v>3.5</c:v>
                </c:pt>
                <c:pt idx="22">
                  <c:v>3.5</c:v>
                </c:pt>
              </c:numCache>
            </c:numRef>
          </c:xVal>
          <c:yVal>
            <c:numRef>
              <c:f>'WR03-06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0"/>
          <c:extLst xmlns:c15="http://schemas.microsoft.com/office/drawing/2012/chart">
            <c:ext xmlns:c16="http://schemas.microsoft.com/office/drawing/2014/chart" uri="{C3380CC4-5D6E-409C-BE32-E72D297353CC}">
              <c16:uniqueId val="{0000002F-1405-43C4-AE80-5BACD8B3D75E}"/>
            </c:ext>
          </c:extLst>
        </c:ser>
        <c:dLbls>
          <c:showLegendKey val="0"/>
          <c:showVal val="0"/>
          <c:showCatName val="0"/>
          <c:showSerName val="0"/>
          <c:showPercent val="0"/>
          <c:showBubbleSize val="0"/>
        </c:dLbls>
        <c:axId val="642922608"/>
        <c:axId val="42429680"/>
        <c:extLst/>
      </c:scatterChart>
      <c:scatterChart>
        <c:scatterStyle val="smoothMarker"/>
        <c:varyColors val="0"/>
        <c:ser>
          <c:idx val="0"/>
          <c:order val="0"/>
          <c:tx>
            <c:v>UC - EC2 - [C]</c:v>
          </c:tx>
          <c:spPr>
            <a:ln w="19050" cap="rnd">
              <a:solidFill>
                <a:schemeClr val="accent1"/>
              </a:solidFill>
              <a:round/>
            </a:ln>
            <a:effectLst/>
          </c:spPr>
          <c:marker>
            <c:symbol val="none"/>
          </c:marker>
          <c:xVal>
            <c:numRef>
              <c:f>'WR03-06 CW'!$AL$15:$AL$48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'WR03-06 CW'!$AM$15:$AM$48</c:f>
              <c:numCache>
                <c:formatCode>0.00</c:formatCode>
                <c:ptCount val="34"/>
                <c:pt idx="0">
                  <c:v>-0.1</c:v>
                </c:pt>
                <c:pt idx="1">
                  <c:v>0</c:v>
                </c:pt>
                <c:pt idx="2">
                  <c:v>4.8750000000000018</c:v>
                </c:pt>
                <c:pt idx="3">
                  <c:v>9.4999999999999964</c:v>
                </c:pt>
                <c:pt idx="4">
                  <c:v>13.875000000000004</c:v>
                </c:pt>
                <c:pt idx="5">
                  <c:v>17.999999999999993</c:v>
                </c:pt>
                <c:pt idx="6">
                  <c:v>21.875</c:v>
                </c:pt>
                <c:pt idx="7">
                  <c:v>25.5</c:v>
                </c:pt>
                <c:pt idx="8">
                  <c:v>28.874999999999996</c:v>
                </c:pt>
                <c:pt idx="9">
                  <c:v>31.999999999999996</c:v>
                </c:pt>
                <c:pt idx="10">
                  <c:v>34.875</c:v>
                </c:pt>
                <c:pt idx="11">
                  <c:v>37.5</c:v>
                </c:pt>
                <c:pt idx="12">
                  <c:v>39.874999999999993</c:v>
                </c:pt>
                <c:pt idx="13">
                  <c:v>42</c:v>
                </c:pt>
                <c:pt idx="14">
                  <c:v>43.875</c:v>
                </c:pt>
                <c:pt idx="15">
                  <c:v>45.5</c:v>
                </c:pt>
                <c:pt idx="16">
                  <c:v>46.875</c:v>
                </c:pt>
                <c:pt idx="17">
                  <c:v>48.000000000000007</c:v>
                </c:pt>
                <c:pt idx="18">
                  <c:v>48.875</c:v>
                </c:pt>
                <c:pt idx="19">
                  <c:v>49.500000000000007</c:v>
                </c:pt>
                <c:pt idx="20">
                  <c:v>49.875</c:v>
                </c:pt>
                <c:pt idx="21">
                  <c:v>50</c:v>
                </c:pt>
                <c:pt idx="22">
                  <c:v>50</c:v>
                </c:pt>
              </c:numCache>
            </c:numRef>
          </c:yVal>
          <c:smooth val="1"/>
          <c:extLst xmlns:c15="http://schemas.microsoft.com/office/drawing/2012/chart">
            <c:ext xmlns:c16="http://schemas.microsoft.com/office/drawing/2014/chart" uri="{C3380CC4-5D6E-409C-BE32-E72D297353CC}">
              <c16:uniqueId val="{00000030-1405-43C4-AE80-5BACD8B3D75E}"/>
            </c:ext>
          </c:extLst>
        </c:ser>
        <c:ser>
          <c:idx val="1"/>
          <c:order val="1"/>
          <c:tx>
            <c:v>CC - EC2 - [C]</c:v>
          </c:tx>
          <c:spPr>
            <a:ln w="19050" cap="rnd">
              <a:solidFill>
                <a:schemeClr val="accent2"/>
              </a:solidFill>
              <a:round/>
            </a:ln>
            <a:effectLst/>
          </c:spPr>
          <c:marker>
            <c:symbol val="none"/>
          </c:marker>
          <c:xVal>
            <c:numRef>
              <c:f>'WR03-06 CW'!$AB$15:$AB$48</c:f>
              <c:numCache>
                <c:formatCode>0.00</c:formatCode>
                <c:ptCount val="34"/>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'WR03-06 CW'!$AD$15:$AD$48</c:f>
              <c:numCache>
                <c:formatCode>0.00</c:formatCode>
                <c:ptCount val="34"/>
                <c:pt idx="0">
                  <c:v>-0.1</c:v>
                </c:pt>
                <c:pt idx="1">
                  <c:v>0</c:v>
                </c:pt>
                <c:pt idx="2">
                  <c:v>5.6260112035289103</c:v>
                </c:pt>
                <c:pt idx="3">
                  <c:v>10.96350901200505</c:v>
                </c:pt>
                <c:pt idx="4">
                  <c:v>16.012493425428435</c:v>
                </c:pt>
                <c:pt idx="5">
                  <c:v>20.772964443799051</c:v>
                </c:pt>
                <c:pt idx="6">
                  <c:v>25.244922067116896</c:v>
                </c:pt>
                <c:pt idx="7">
                  <c:v>29.428366295381984</c:v>
                </c:pt>
                <c:pt idx="8">
                  <c:v>33.323297128594312</c:v>
                </c:pt>
                <c:pt idx="9">
                  <c:v>36.929714566753859</c:v>
                </c:pt>
                <c:pt idx="10">
                  <c:v>40.247618609860652</c:v>
                </c:pt>
                <c:pt idx="11">
                  <c:v>43.277009257914678</c:v>
                </c:pt>
                <c:pt idx="12">
                  <c:v>46.01788651091595</c:v>
                </c:pt>
                <c:pt idx="13">
                  <c:v>48.470250368864441</c:v>
                </c:pt>
                <c:pt idx="14">
                  <c:v>50.634100831760179</c:v>
                </c:pt>
                <c:pt idx="15">
                  <c:v>52.509437899603142</c:v>
                </c:pt>
                <c:pt idx="16">
                  <c:v>54.096261572393352</c:v>
                </c:pt>
                <c:pt idx="17">
                  <c:v>55.394571850130788</c:v>
                </c:pt>
                <c:pt idx="18">
                  <c:v>56.40436873281547</c:v>
                </c:pt>
                <c:pt idx="19">
                  <c:v>57.125652220447378</c:v>
                </c:pt>
                <c:pt idx="20">
                  <c:v>57.558422313026519</c:v>
                </c:pt>
                <c:pt idx="21">
                  <c:v>57.702679010552906</c:v>
                </c:pt>
                <c:pt idx="22">
                  <c:v>49.047277158969969</c:v>
                </c:pt>
              </c:numCache>
            </c:numRef>
          </c:yVal>
          <c:smooth val="1"/>
          <c:extLst>
            <c:ext xmlns:c16="http://schemas.microsoft.com/office/drawing/2014/chart" uri="{C3380CC4-5D6E-409C-BE32-E72D297353CC}">
              <c16:uniqueId val="{00000031-1405-43C4-AE80-5BACD8B3D75E}"/>
            </c:ext>
          </c:extLst>
        </c:ser>
        <c:ser>
          <c:idx val="2"/>
          <c:order val="2"/>
          <c:tx>
            <c:v>CC - EC8 - [C]</c:v>
          </c:tx>
          <c:spPr>
            <a:ln w="19050" cap="rnd">
              <a:solidFill>
                <a:schemeClr val="accent3"/>
              </a:solidFill>
              <a:round/>
            </a:ln>
            <a:effectLst/>
          </c:spPr>
          <c:marker>
            <c:symbol val="none"/>
          </c:marker>
          <c:xVal>
            <c:numRef>
              <c:f>'WR03-06 CW'!$AG$15:$AG$48</c:f>
              <c:numCache>
                <c:formatCode>0.00</c:formatCode>
                <c:ptCount val="34"/>
                <c:pt idx="0">
                  <c:v>-0.1</c:v>
                </c:pt>
                <c:pt idx="1">
                  <c:v>0</c:v>
                </c:pt>
                <c:pt idx="2">
                  <c:v>0.19278019245676317</c:v>
                </c:pt>
                <c:pt idx="3">
                  <c:v>0.38556038491352634</c:v>
                </c:pt>
                <c:pt idx="4">
                  <c:v>0.57834057737028954</c:v>
                </c:pt>
                <c:pt idx="5">
                  <c:v>0.77112076982705269</c:v>
                </c:pt>
                <c:pt idx="6">
                  <c:v>0.96390096228381583</c:v>
                </c:pt>
                <c:pt idx="7">
                  <c:v>1.1566811547405791</c:v>
                </c:pt>
                <c:pt idx="8">
                  <c:v>1.3494613471973422</c:v>
                </c:pt>
                <c:pt idx="9">
                  <c:v>1.5422415396541054</c:v>
                </c:pt>
                <c:pt idx="10">
                  <c:v>1.7350217321108685</c:v>
                </c:pt>
                <c:pt idx="11">
                  <c:v>1.9278019245676317</c:v>
                </c:pt>
                <c:pt idx="12">
                  <c:v>2.1205821170243948</c:v>
                </c:pt>
                <c:pt idx="13">
                  <c:v>2.3133623094811582</c:v>
                </c:pt>
                <c:pt idx="14">
                  <c:v>2.5061425019379215</c:v>
                </c:pt>
                <c:pt idx="15">
                  <c:v>2.6989226943946849</c:v>
                </c:pt>
                <c:pt idx="16">
                  <c:v>2.8917028868514483</c:v>
                </c:pt>
                <c:pt idx="17">
                  <c:v>3.0844830793082116</c:v>
                </c:pt>
                <c:pt idx="18">
                  <c:v>3.277263271764975</c:v>
                </c:pt>
                <c:pt idx="19">
                  <c:v>3.4700434642217384</c:v>
                </c:pt>
                <c:pt idx="20">
                  <c:v>3.6628236566785017</c:v>
                </c:pt>
                <c:pt idx="21">
                  <c:v>3.8556038491352651</c:v>
                </c:pt>
                <c:pt idx="22">
                  <c:v>16.994157207968332</c:v>
                </c:pt>
              </c:numCache>
            </c:numRef>
          </c:xVal>
          <c:yVal>
            <c:numRef>
              <c:f>'WR03-06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32-1405-43C4-AE80-5BACD8B3D75E}"/>
            </c:ext>
          </c:extLst>
        </c:ser>
        <c:ser>
          <c:idx val="3"/>
          <c:order val="3"/>
          <c:tx>
            <c:v>UC - EC2 - [D]</c:v>
          </c:tx>
          <c:spPr>
            <a:ln w="19050" cap="rnd">
              <a:solidFill>
                <a:schemeClr val="accent4"/>
              </a:solidFill>
              <a:round/>
            </a:ln>
            <a:effectLst/>
          </c:spPr>
          <c:marker>
            <c:symbol val="none"/>
          </c:marker>
          <c:xVal>
            <c:numRef>
              <c:f>'WR03-06 CW'!$AL$15:$AL$48</c:f>
              <c:numCache>
                <c:formatCode>0.00</c:formatCode>
                <c:ptCount val="34"/>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'WR03-06 CW'!$AN$15:$AN$48</c:f>
              <c:numCache>
                <c:formatCode>0.00</c:formatCode>
                <c:ptCount val="34"/>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xmlns:c15="http://schemas.microsoft.com/office/drawing/2012/chart">
            <c:ext xmlns:c16="http://schemas.microsoft.com/office/drawing/2014/chart" uri="{C3380CC4-5D6E-409C-BE32-E72D297353CC}">
              <c16:uniqueId val="{00000033-1405-43C4-AE80-5BACD8B3D75E}"/>
            </c:ext>
          </c:extLst>
        </c:ser>
        <c:ser>
          <c:idx val="4"/>
          <c:order val="4"/>
          <c:tx>
            <c:v>CC - EC2 - [D]</c:v>
          </c:tx>
          <c:spPr>
            <a:ln w="19050" cap="rnd">
              <a:solidFill>
                <a:schemeClr val="accent5"/>
              </a:solidFill>
              <a:round/>
            </a:ln>
            <a:effectLst/>
          </c:spPr>
          <c:marker>
            <c:symbol val="none"/>
          </c:marker>
          <c:xVal>
            <c:numRef>
              <c:f>'WR03-06 CW'!$AB$15:$AB$48</c:f>
              <c:numCache>
                <c:formatCode>0.00</c:formatCode>
                <c:ptCount val="34"/>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'WR03-06 CW'!$AE$15:$AE$48</c:f>
              <c:numCache>
                <c:formatCode>0.00</c:formatCode>
                <c:ptCount val="34"/>
                <c:pt idx="0">
                  <c:v>-0.1</c:v>
                </c:pt>
                <c:pt idx="1">
                  <c:v>0</c:v>
                </c:pt>
                <c:pt idx="2">
                  <c:v>3.1880730153330492</c:v>
                </c:pt>
                <c:pt idx="3">
                  <c:v>6.2126551068028606</c:v>
                </c:pt>
                <c:pt idx="4">
                  <c:v>9.0737462744094461</c:v>
                </c:pt>
                <c:pt idx="5">
                  <c:v>11.771346518152795</c:v>
                </c:pt>
                <c:pt idx="6">
                  <c:v>14.305455838032907</c:v>
                </c:pt>
                <c:pt idx="7">
                  <c:v>16.676074234049789</c:v>
                </c:pt>
                <c:pt idx="8">
                  <c:v>18.883201706203444</c:v>
                </c:pt>
                <c:pt idx="9">
                  <c:v>20.926838254493852</c:v>
                </c:pt>
                <c:pt idx="10">
                  <c:v>22.806983878921034</c:v>
                </c:pt>
                <c:pt idx="11">
                  <c:v>24.523638579484984</c:v>
                </c:pt>
                <c:pt idx="12">
                  <c:v>26.076802356185706</c:v>
                </c:pt>
                <c:pt idx="13">
                  <c:v>27.466475209023184</c:v>
                </c:pt>
                <c:pt idx="14">
                  <c:v>28.692657137997433</c:v>
                </c:pt>
                <c:pt idx="15">
                  <c:v>29.755348143108446</c:v>
                </c:pt>
                <c:pt idx="16">
                  <c:v>30.654548224356233</c:v>
                </c:pt>
                <c:pt idx="17">
                  <c:v>31.390257381740781</c:v>
                </c:pt>
                <c:pt idx="18">
                  <c:v>31.962475615262097</c:v>
                </c:pt>
                <c:pt idx="19">
                  <c:v>32.371202924920176</c:v>
                </c:pt>
                <c:pt idx="20">
                  <c:v>32.61643931071503</c:v>
                </c:pt>
                <c:pt idx="21">
                  <c:v>32.698184772646648</c:v>
                </c:pt>
                <c:pt idx="22">
                  <c:v>27.793457056749649</c:v>
                </c:pt>
              </c:numCache>
            </c:numRef>
          </c:yVal>
          <c:smooth val="1"/>
          <c:extLst xmlns:c15="http://schemas.microsoft.com/office/drawing/2012/chart">
            <c:ext xmlns:c16="http://schemas.microsoft.com/office/drawing/2014/chart" uri="{C3380CC4-5D6E-409C-BE32-E72D297353CC}">
              <c16:uniqueId val="{00000034-1405-43C4-AE80-5BACD8B3D75E}"/>
            </c:ext>
          </c:extLst>
        </c:ser>
        <c:ser>
          <c:idx val="5"/>
          <c:order val="5"/>
          <c:tx>
            <c:v>CC - EC8 - [D]</c:v>
          </c:tx>
          <c:spPr>
            <a:ln w="19050" cap="rnd">
              <a:solidFill>
                <a:schemeClr val="accent6"/>
              </a:solidFill>
              <a:round/>
            </a:ln>
            <a:effectLst/>
          </c:spPr>
          <c:marker>
            <c:symbol val="none"/>
          </c:marker>
          <c:xVal>
            <c:numRef>
              <c:f>'WR03-06 CW'!$AG$15:$AG$48</c:f>
              <c:numCache>
                <c:formatCode>0.00</c:formatCode>
                <c:ptCount val="34"/>
                <c:pt idx="0">
                  <c:v>-0.1</c:v>
                </c:pt>
                <c:pt idx="1">
                  <c:v>0</c:v>
                </c:pt>
                <c:pt idx="2">
                  <c:v>0.19278019245676317</c:v>
                </c:pt>
                <c:pt idx="3">
                  <c:v>0.38556038491352634</c:v>
                </c:pt>
                <c:pt idx="4">
                  <c:v>0.57834057737028954</c:v>
                </c:pt>
                <c:pt idx="5">
                  <c:v>0.77112076982705269</c:v>
                </c:pt>
                <c:pt idx="6">
                  <c:v>0.96390096228381583</c:v>
                </c:pt>
                <c:pt idx="7">
                  <c:v>1.1566811547405791</c:v>
                </c:pt>
                <c:pt idx="8">
                  <c:v>1.3494613471973422</c:v>
                </c:pt>
                <c:pt idx="9">
                  <c:v>1.5422415396541054</c:v>
                </c:pt>
                <c:pt idx="10">
                  <c:v>1.7350217321108685</c:v>
                </c:pt>
                <c:pt idx="11">
                  <c:v>1.9278019245676317</c:v>
                </c:pt>
                <c:pt idx="12">
                  <c:v>2.1205821170243948</c:v>
                </c:pt>
                <c:pt idx="13">
                  <c:v>2.3133623094811582</c:v>
                </c:pt>
                <c:pt idx="14">
                  <c:v>2.5061425019379215</c:v>
                </c:pt>
                <c:pt idx="15">
                  <c:v>2.6989226943946849</c:v>
                </c:pt>
                <c:pt idx="16">
                  <c:v>2.8917028868514483</c:v>
                </c:pt>
                <c:pt idx="17">
                  <c:v>3.0844830793082116</c:v>
                </c:pt>
                <c:pt idx="18">
                  <c:v>3.277263271764975</c:v>
                </c:pt>
                <c:pt idx="19">
                  <c:v>3.4700434642217384</c:v>
                </c:pt>
                <c:pt idx="20">
                  <c:v>3.6628236566785017</c:v>
                </c:pt>
                <c:pt idx="21">
                  <c:v>3.8556038491352651</c:v>
                </c:pt>
                <c:pt idx="22">
                  <c:v>16.994157207968332</c:v>
                </c:pt>
              </c:numCache>
            </c:numRef>
          </c:xVal>
          <c:yVal>
            <c:numRef>
              <c:f>'WR03-06 CW'!$AJ$15:$AJ$48</c:f>
              <c:numCache>
                <c:formatCode>0.00</c:formatCode>
                <c:ptCount val="34"/>
                <c:pt idx="0">
                  <c:v>-0.1</c:v>
                </c:pt>
                <c:pt idx="1">
                  <c:v>0</c:v>
                </c:pt>
                <c:pt idx="2">
                  <c:v>3.9120874126622325</c:v>
                </c:pt>
                <c:pt idx="3">
                  <c:v>7.5021193297512587</c:v>
                </c:pt>
                <c:pt idx="4">
                  <c:v>10.789577584941327</c:v>
                </c:pt>
                <c:pt idx="5">
                  <c:v>13.792403739030604</c:v>
                </c:pt>
                <c:pt idx="6">
                  <c:v>16.52714835085834</c:v>
                </c:pt>
                <c:pt idx="7">
                  <c:v>19.009103218919808</c:v>
                </c:pt>
                <c:pt idx="8">
                  <c:v>21.252418817937492</c:v>
                </c:pt>
                <c:pt idx="9">
                  <c:v>23.270208828707094</c:v>
                </c:pt>
                <c:pt idx="10">
                  <c:v>25.074643386364873</c:v>
                </c:pt>
                <c:pt idx="11">
                  <c:v>26.677032442491939</c:v>
                </c:pt>
                <c:pt idx="12">
                  <c:v>28.087900442640862</c:v>
                </c:pt>
                <c:pt idx="13">
                  <c:v>29.317053356811893</c:v>
                </c:pt>
                <c:pt idx="14">
                  <c:v>30.373638961124698</c:v>
                </c:pt>
                <c:pt idx="15">
                  <c:v>31.266201150338034</c:v>
                </c:pt>
                <c:pt idx="16">
                  <c:v>32.00272895960498</c:v>
                </c:pt>
                <c:pt idx="17">
                  <c:v>32.590700887146895</c:v>
                </c:pt>
                <c:pt idx="18">
                  <c:v>33.037125035096054</c:v>
                </c:pt>
                <c:pt idx="19">
                  <c:v>33.348575521694144</c:v>
                </c:pt>
                <c:pt idx="20">
                  <c:v>33.531225562761584</c:v>
                </c:pt>
                <c:pt idx="21">
                  <c:v>33.590877572549914</c:v>
                </c:pt>
                <c:pt idx="22">
                  <c:v>28.552245936667429</c:v>
                </c:pt>
              </c:numCache>
            </c:numRef>
          </c:yVal>
          <c:smooth val="1"/>
          <c:extLst xmlns:c15="http://schemas.microsoft.com/office/drawing/2012/chart">
            <c:ext xmlns:c16="http://schemas.microsoft.com/office/drawing/2014/chart" uri="{C3380CC4-5D6E-409C-BE32-E72D297353CC}">
              <c16:uniqueId val="{00000035-1405-43C4-AE80-5BACD8B3D75E}"/>
            </c:ext>
          </c:extLst>
        </c:ser>
        <c:ser>
          <c:idx val="8"/>
          <c:order val="8"/>
          <c:tx>
            <c:v>Limit CC - EC2</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6-1405-43C4-AE80-5BACD8B3D75E}"/>
                </c:ext>
              </c:extLst>
            </c:dLbl>
            <c:dLbl>
              <c:idx val="1"/>
              <c:layout>
                <c:manualLayout>
                  <c:x val="9.5335366010593486E-3"/>
                  <c:y val="-4.3797421407220385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37-1405-43C4-AE80-5BACD8B3D75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8-1405-43C4-AE80-5BACD8B3D75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9-1405-43C4-AE80-5BACD8B3D75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A-1405-43C4-AE80-5BACD8B3D75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B-1405-43C4-AE80-5BACD8B3D75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C-1405-43C4-AE80-5BACD8B3D75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D-1405-43C4-AE80-5BACD8B3D75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E-1405-43C4-AE80-5BACD8B3D75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3F-1405-43C4-AE80-5BACD8B3D75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0-1405-43C4-AE80-5BACD8B3D75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1-1405-43C4-AE80-5BACD8B3D75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2-1405-43C4-AE80-5BACD8B3D75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3-1405-43C4-AE80-5BACD8B3D75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4-1405-43C4-AE80-5BACD8B3D75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5-1405-43C4-AE80-5BACD8B3D75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6-1405-43C4-AE80-5BACD8B3D75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7-1405-43C4-AE80-5BACD8B3D75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8-1405-43C4-AE80-5BACD8B3D75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9-1405-43C4-AE80-5BACD8B3D75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A-1405-43C4-AE80-5BACD8B3D75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B-1405-43C4-AE80-5BACD8B3D75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C-1405-43C4-AE80-5BACD8B3D75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'WR03-06 CW'!$AY$15:$AY$47</c:f>
              <c:numCache>
                <c:formatCode>0.00</c:formatCode>
                <c:ptCount val="33"/>
                <c:pt idx="0">
                  <c:v>9.6621432084423251</c:v>
                </c:pt>
                <c:pt idx="1">
                  <c:v>9.6621432084423251</c:v>
                </c:pt>
                <c:pt idx="2">
                  <c:v>9.6621432084423251</c:v>
                </c:pt>
                <c:pt idx="3">
                  <c:v>9.6621432084423251</c:v>
                </c:pt>
                <c:pt idx="4">
                  <c:v>9.6621432084423251</c:v>
                </c:pt>
                <c:pt idx="5">
                  <c:v>9.6621432084423251</c:v>
                </c:pt>
                <c:pt idx="6">
                  <c:v>9.6621432084423251</c:v>
                </c:pt>
                <c:pt idx="7">
                  <c:v>9.6621432084423251</c:v>
                </c:pt>
                <c:pt idx="8">
                  <c:v>9.6621432084423251</c:v>
                </c:pt>
                <c:pt idx="9">
                  <c:v>9.6621432084423251</c:v>
                </c:pt>
                <c:pt idx="10">
                  <c:v>9.6621432084423251</c:v>
                </c:pt>
                <c:pt idx="11">
                  <c:v>9.6621432084423251</c:v>
                </c:pt>
                <c:pt idx="12">
                  <c:v>9.6621432084423251</c:v>
                </c:pt>
                <c:pt idx="13">
                  <c:v>9.6621432084423251</c:v>
                </c:pt>
                <c:pt idx="14">
                  <c:v>9.6621432084423251</c:v>
                </c:pt>
                <c:pt idx="15">
                  <c:v>9.6621432084423251</c:v>
                </c:pt>
                <c:pt idx="16">
                  <c:v>9.6621432084423251</c:v>
                </c:pt>
                <c:pt idx="17">
                  <c:v>9.6621432084423251</c:v>
                </c:pt>
                <c:pt idx="18">
                  <c:v>9.6621432084423251</c:v>
                </c:pt>
                <c:pt idx="19">
                  <c:v>9.6621432084423251</c:v>
                </c:pt>
                <c:pt idx="20">
                  <c:v>9.6621432084423251</c:v>
                </c:pt>
                <c:pt idx="21">
                  <c:v>9.6621432084423251</c:v>
                </c:pt>
                <c:pt idx="22">
                  <c:v>9.6621432084423251</c:v>
                </c:pt>
              </c:numCache>
            </c:numRef>
          </c:xVal>
          <c:yVal>
            <c:numRef>
              <c:f>'WR03-06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4D-1405-43C4-AE80-5BACD8B3D75E}"/>
            </c:ext>
          </c:extLst>
        </c:ser>
        <c:ser>
          <c:idx val="9"/>
          <c:order val="9"/>
          <c:tx>
            <c:v>Limit CC - EC8</c:v>
          </c:tx>
          <c:spPr>
            <a:ln w="19050" cap="rnd">
              <a:solidFill>
                <a:schemeClr val="tx1">
                  <a:alpha val="50000"/>
                </a:schemeClr>
              </a:solidFill>
              <a:prstDash val="sysDash"/>
              <a:round/>
            </a:ln>
            <a:effectLst/>
          </c:spPr>
          <c:marker>
            <c:symbol val="none"/>
          </c:marker>
          <c:dLbls>
            <c:dLbl>
              <c:idx val="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4E-1405-43C4-AE80-5BACD8B3D75E}"/>
                </c:ext>
              </c:extLst>
            </c:dLbl>
            <c:dLbl>
              <c:idx val="1"/>
              <c:layout>
                <c:manualLayout>
                  <c:x val="1.0895470401210585E-2"/>
                  <c:y val="-4.180662952507401E-2"/>
                </c:manualLayout>
              </c:layout>
              <c:showLegendKey val="0"/>
              <c:showVal val="0"/>
              <c:showCatName val="1"/>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4F-1405-43C4-AE80-5BACD8B3D75E}"/>
                </c:ext>
              </c:extLst>
            </c:dLbl>
            <c:dLbl>
              <c:idx val="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0-1405-43C4-AE80-5BACD8B3D75E}"/>
                </c:ext>
              </c:extLst>
            </c:dLbl>
            <c:dLbl>
              <c:idx val="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1-1405-43C4-AE80-5BACD8B3D75E}"/>
                </c:ext>
              </c:extLst>
            </c:dLbl>
            <c:dLbl>
              <c:idx val="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2-1405-43C4-AE80-5BACD8B3D75E}"/>
                </c:ext>
              </c:extLst>
            </c:dLbl>
            <c:dLbl>
              <c:idx val="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3-1405-43C4-AE80-5BACD8B3D75E}"/>
                </c:ext>
              </c:extLst>
            </c:dLbl>
            <c:dLbl>
              <c:idx val="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4-1405-43C4-AE80-5BACD8B3D75E}"/>
                </c:ext>
              </c:extLst>
            </c:dLbl>
            <c:dLbl>
              <c:idx val="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5-1405-43C4-AE80-5BACD8B3D75E}"/>
                </c:ext>
              </c:extLst>
            </c:dLbl>
            <c:dLbl>
              <c:idx val="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6-1405-43C4-AE80-5BACD8B3D75E}"/>
                </c:ext>
              </c:extLst>
            </c:dLbl>
            <c:dLbl>
              <c:idx val="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7-1405-43C4-AE80-5BACD8B3D75E}"/>
                </c:ext>
              </c:extLst>
            </c:dLbl>
            <c:dLbl>
              <c:idx val="1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8-1405-43C4-AE80-5BACD8B3D75E}"/>
                </c:ext>
              </c:extLst>
            </c:dLbl>
            <c:dLbl>
              <c:idx val="1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9-1405-43C4-AE80-5BACD8B3D75E}"/>
                </c:ext>
              </c:extLst>
            </c:dLbl>
            <c:dLbl>
              <c:idx val="1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A-1405-43C4-AE80-5BACD8B3D75E}"/>
                </c:ext>
              </c:extLst>
            </c:dLbl>
            <c:dLbl>
              <c:idx val="13"/>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B-1405-43C4-AE80-5BACD8B3D75E}"/>
                </c:ext>
              </c:extLst>
            </c:dLbl>
            <c:dLbl>
              <c:idx val="14"/>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C-1405-43C4-AE80-5BACD8B3D75E}"/>
                </c:ext>
              </c:extLst>
            </c:dLbl>
            <c:dLbl>
              <c:idx val="15"/>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D-1405-43C4-AE80-5BACD8B3D75E}"/>
                </c:ext>
              </c:extLst>
            </c:dLbl>
            <c:dLbl>
              <c:idx val="16"/>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E-1405-43C4-AE80-5BACD8B3D75E}"/>
                </c:ext>
              </c:extLst>
            </c:dLbl>
            <c:dLbl>
              <c:idx val="17"/>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5F-1405-43C4-AE80-5BACD8B3D75E}"/>
                </c:ext>
              </c:extLst>
            </c:dLbl>
            <c:dLbl>
              <c:idx val="18"/>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0-1405-43C4-AE80-5BACD8B3D75E}"/>
                </c:ext>
              </c:extLst>
            </c:dLbl>
            <c:dLbl>
              <c:idx val="19"/>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1-1405-43C4-AE80-5BACD8B3D75E}"/>
                </c:ext>
              </c:extLst>
            </c:dLbl>
            <c:dLbl>
              <c:idx val="20"/>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2-1405-43C4-AE80-5BACD8B3D75E}"/>
                </c:ext>
              </c:extLst>
            </c:dLbl>
            <c:dLbl>
              <c:idx val="2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3-1405-43C4-AE80-5BACD8B3D75E}"/>
                </c:ext>
              </c:extLst>
            </c:dLbl>
            <c:dLbl>
              <c:idx val="22"/>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64-1405-43C4-AE80-5BACD8B3D75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1"/>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'WR03-06 CW'!$AZ$15:$AZ$47</c:f>
              <c:numCache>
                <c:formatCode>0.00</c:formatCode>
                <c:ptCount val="33"/>
                <c:pt idx="0">
                  <c:v>16.994157207968332</c:v>
                </c:pt>
                <c:pt idx="1">
                  <c:v>16.994157207968332</c:v>
                </c:pt>
                <c:pt idx="2">
                  <c:v>16.994157207968332</c:v>
                </c:pt>
                <c:pt idx="3">
                  <c:v>16.994157207968332</c:v>
                </c:pt>
                <c:pt idx="4">
                  <c:v>16.994157207968332</c:v>
                </c:pt>
                <c:pt idx="5">
                  <c:v>16.994157207968332</c:v>
                </c:pt>
                <c:pt idx="6">
                  <c:v>16.994157207968332</c:v>
                </c:pt>
                <c:pt idx="7">
                  <c:v>16.994157207968332</c:v>
                </c:pt>
                <c:pt idx="8">
                  <c:v>16.994157207968332</c:v>
                </c:pt>
                <c:pt idx="9">
                  <c:v>16.994157207968332</c:v>
                </c:pt>
                <c:pt idx="10">
                  <c:v>16.994157207968332</c:v>
                </c:pt>
                <c:pt idx="11">
                  <c:v>16.994157207968332</c:v>
                </c:pt>
                <c:pt idx="12">
                  <c:v>16.994157207968332</c:v>
                </c:pt>
                <c:pt idx="13">
                  <c:v>16.994157207968332</c:v>
                </c:pt>
                <c:pt idx="14">
                  <c:v>16.994157207968332</c:v>
                </c:pt>
                <c:pt idx="15">
                  <c:v>16.994157207968332</c:v>
                </c:pt>
                <c:pt idx="16">
                  <c:v>16.994157207968332</c:v>
                </c:pt>
                <c:pt idx="17">
                  <c:v>16.994157207968332</c:v>
                </c:pt>
                <c:pt idx="18">
                  <c:v>16.994157207968332</c:v>
                </c:pt>
                <c:pt idx="19">
                  <c:v>16.994157207968332</c:v>
                </c:pt>
                <c:pt idx="20">
                  <c:v>16.994157207968332</c:v>
                </c:pt>
                <c:pt idx="21">
                  <c:v>16.994157207968332</c:v>
                </c:pt>
                <c:pt idx="22">
                  <c:v>16.994157207968332</c:v>
                </c:pt>
              </c:numCache>
            </c:numRef>
          </c:xVal>
          <c:yVal>
            <c:numRef>
              <c:f>'WR03-06 CW'!$AI$15:$AI$48</c:f>
              <c:numCache>
                <c:formatCode>0.00</c:formatCode>
                <c:ptCount val="34"/>
                <c:pt idx="0">
                  <c:v>-0.1</c:v>
                </c:pt>
                <c:pt idx="1">
                  <c:v>0</c:v>
                </c:pt>
                <c:pt idx="2">
                  <c:v>6.9036836694039394</c:v>
                </c:pt>
                <c:pt idx="3">
                  <c:v>13.239034111325751</c:v>
                </c:pt>
                <c:pt idx="4">
                  <c:v>19.040431032249401</c:v>
                </c:pt>
                <c:pt idx="5">
                  <c:v>24.339536010054008</c:v>
                </c:pt>
                <c:pt idx="6">
                  <c:v>29.165555913279423</c:v>
                </c:pt>
                <c:pt idx="7">
                  <c:v>33.545476268682016</c:v>
                </c:pt>
                <c:pt idx="8">
                  <c:v>37.504268502242638</c:v>
                </c:pt>
                <c:pt idx="9">
                  <c:v>41.065074403600754</c:v>
                </c:pt>
                <c:pt idx="10">
                  <c:v>44.249370681820366</c:v>
                </c:pt>
                <c:pt idx="11">
                  <c:v>47.077116074985774</c:v>
                </c:pt>
                <c:pt idx="12">
                  <c:v>49.566883134072114</c:v>
                </c:pt>
                <c:pt idx="13">
                  <c:v>51.73597651202099</c:v>
                </c:pt>
                <c:pt idx="14">
                  <c:v>53.60053934316123</c:v>
                </c:pt>
                <c:pt idx="15">
                  <c:v>55.175649088831825</c:v>
                </c:pt>
                <c:pt idx="16">
                  <c:v>56.475404046361732</c:v>
                </c:pt>
                <c:pt idx="17">
                  <c:v>57.513001565553346</c:v>
                </c:pt>
                <c:pt idx="18">
                  <c:v>58.300808885463624</c:v>
                </c:pt>
                <c:pt idx="19">
                  <c:v>58.850427391224962</c:v>
                </c:pt>
                <c:pt idx="20">
                  <c:v>59.172750993108679</c:v>
                </c:pt>
                <c:pt idx="21">
                  <c:v>59.278019245676319</c:v>
                </c:pt>
                <c:pt idx="22">
                  <c:v>50.386316358824871</c:v>
                </c:pt>
              </c:numCache>
            </c:numRef>
          </c:yVal>
          <c:smooth val="1"/>
          <c:extLst xmlns:c15="http://schemas.microsoft.com/office/drawing/2012/chart">
            <c:ext xmlns:c16="http://schemas.microsoft.com/office/drawing/2014/chart" uri="{C3380CC4-5D6E-409C-BE32-E72D297353CC}">
              <c16:uniqueId val="{00000065-1405-43C4-AE80-5BACD8B3D75E}"/>
            </c:ext>
          </c:extLst>
        </c:ser>
        <c:dLbls>
          <c:showLegendKey val="0"/>
          <c:showVal val="0"/>
          <c:showCatName val="0"/>
          <c:showSerName val="0"/>
          <c:showPercent val="0"/>
          <c:showBubbleSize val="0"/>
        </c:dLbls>
        <c:axId val="642922608"/>
        <c:axId val="42429680"/>
        <c:extLst/>
      </c:scatterChart>
      <c:valAx>
        <c:axId val="642922608"/>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Strain - </a:t>
                </a:r>
                <a:r>
                  <a:rPr lang="el-GR" b="1"/>
                  <a:t>ε</a:t>
                </a:r>
                <a:r>
                  <a:rPr lang="en-US" b="1"/>
                  <a:t> [mm/m]</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in"/>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9680"/>
        <c:crossesAt val="0"/>
        <c:crossBetween val="midCat"/>
        <c:minorUnit val="1"/>
      </c:valAx>
      <c:valAx>
        <c:axId val="42429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b="1"/>
                  <a:t>Stress - </a:t>
                </a:r>
                <a:r>
                  <a:rPr lang="el-GR" b="1"/>
                  <a:t>σ</a:t>
                </a:r>
                <a:r>
                  <a:rPr lang="en-US" b="1"/>
                  <a:t> [MPa]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2922608"/>
        <c:crossesAt val="0"/>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b="1"/>
              <a:t>Reinforcement Properties</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0"/>
          <c:order val="0"/>
          <c:tx>
            <c:v>RFT - Without Hardening [D]</c:v>
          </c:tx>
          <c:spPr>
            <a:ln w="19050" cap="rnd">
              <a:solidFill>
                <a:schemeClr val="accent1"/>
              </a:solidFill>
              <a:round/>
            </a:ln>
            <a:effectLst/>
          </c:spPr>
          <c:marker>
            <c:symbol val="none"/>
          </c:marker>
          <c:xVal>
            <c:numRef>
              <c:f>'WR03-06 CW'!$AP$24:$AP$28</c:f>
              <c:numCache>
                <c:formatCode>0.00</c:formatCode>
                <c:ptCount val="5"/>
                <c:pt idx="0">
                  <c:v>-45</c:v>
                </c:pt>
                <c:pt idx="1">
                  <c:v>-2.1739130434782608</c:v>
                </c:pt>
                <c:pt idx="2">
                  <c:v>0</c:v>
                </c:pt>
                <c:pt idx="3">
                  <c:v>2.1739130434782608</c:v>
                </c:pt>
                <c:pt idx="4">
                  <c:v>45</c:v>
                </c:pt>
              </c:numCache>
            </c:numRef>
          </c:xVal>
          <c:yVal>
            <c:numRef>
              <c:f>'WR03-06 CW'!$AQ$24:$AQ$28</c:f>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0-DD38-49C6-BAC3-9BDBDB9EBE72}"/>
            </c:ext>
          </c:extLst>
        </c:ser>
        <c:ser>
          <c:idx val="1"/>
          <c:order val="1"/>
          <c:tx>
            <c:v>RFT - Without Hardening [C]</c:v>
          </c:tx>
          <c:spPr>
            <a:ln w="19050" cap="rnd">
              <a:solidFill>
                <a:schemeClr val="accent2"/>
              </a:solidFill>
              <a:round/>
            </a:ln>
            <a:effectLst/>
          </c:spPr>
          <c:marker>
            <c:symbol val="none"/>
          </c:marker>
          <c:xVal>
            <c:numRef>
              <c:f>'WR03-06 CW'!$AP$15:$AP$19</c:f>
              <c:numCache>
                <c:formatCode>0.00</c:formatCode>
                <c:ptCount val="5"/>
                <c:pt idx="0">
                  <c:v>-45</c:v>
                </c:pt>
                <c:pt idx="1">
                  <c:v>-2.5</c:v>
                </c:pt>
                <c:pt idx="2">
                  <c:v>0</c:v>
                </c:pt>
                <c:pt idx="3">
                  <c:v>2.5</c:v>
                </c:pt>
                <c:pt idx="4">
                  <c:v>45</c:v>
                </c:pt>
              </c:numCache>
            </c:numRef>
          </c:xVal>
          <c:yVal>
            <c:numRef>
              <c:f>'WR03-06 CW'!$AQ$15:$AQ$19</c:f>
              <c:numCache>
                <c:formatCode>0.00</c:formatCode>
                <c:ptCount val="5"/>
                <c:pt idx="0">
                  <c:v>-500</c:v>
                </c:pt>
                <c:pt idx="1">
                  <c:v>-500</c:v>
                </c:pt>
                <c:pt idx="2">
                  <c:v>0</c:v>
                </c:pt>
                <c:pt idx="3">
                  <c:v>500</c:v>
                </c:pt>
                <c:pt idx="4">
                  <c:v>500</c:v>
                </c:pt>
              </c:numCache>
            </c:numRef>
          </c:yVal>
          <c:smooth val="0"/>
          <c:extLst>
            <c:ext xmlns:c16="http://schemas.microsoft.com/office/drawing/2014/chart" uri="{C3380CC4-5D6E-409C-BE32-E72D297353CC}">
              <c16:uniqueId val="{00000001-DD38-49C6-BAC3-9BDBDB9EBE72}"/>
            </c:ext>
          </c:extLst>
        </c:ser>
        <c:ser>
          <c:idx val="2"/>
          <c:order val="2"/>
          <c:tx>
            <c:v>RFT - With Hardening [D]</c:v>
          </c:tx>
          <c:spPr>
            <a:ln w="19050" cap="rnd">
              <a:solidFill>
                <a:schemeClr val="accent3"/>
              </a:solidFill>
              <a:round/>
            </a:ln>
            <a:effectLst/>
          </c:spPr>
          <c:marker>
            <c:symbol val="none"/>
          </c:marker>
          <c:xVal>
            <c:numRef>
              <c:f>'WR03-06 CW'!$AS$24:$AS$28</c:f>
              <c:numCache>
                <c:formatCode>0.00</c:formatCode>
                <c:ptCount val="5"/>
                <c:pt idx="0">
                  <c:v>-45</c:v>
                </c:pt>
                <c:pt idx="1">
                  <c:v>-2.1739130434782612</c:v>
                </c:pt>
                <c:pt idx="2">
                  <c:v>0</c:v>
                </c:pt>
                <c:pt idx="3">
                  <c:v>2.1739130434782612</c:v>
                </c:pt>
                <c:pt idx="4">
                  <c:v>45</c:v>
                </c:pt>
              </c:numCache>
            </c:numRef>
          </c:xVal>
          <c:yVal>
            <c:numRef>
              <c:f>'WR03-06 CW'!$AT$24:$AT$28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2-DD38-49C6-BAC3-9BDBDB9EBE72}"/>
            </c:ext>
          </c:extLst>
        </c:ser>
        <c:ser>
          <c:idx val="3"/>
          <c:order val="3"/>
          <c:tx>
            <c:v>RFT - With Hardening [C]</c:v>
          </c:tx>
          <c:spPr>
            <a:ln w="19050" cap="rnd">
              <a:solidFill>
                <a:schemeClr val="accent4"/>
              </a:solidFill>
              <a:round/>
            </a:ln>
            <a:effectLst/>
          </c:spPr>
          <c:marker>
            <c:symbol val="none"/>
          </c:marker>
          <c:xVal>
            <c:numRef>
              <c:f>'WR03-06 CW'!$AS$15:$AS$19</c:f>
              <c:numCache>
                <c:formatCode>0.00</c:formatCode>
                <c:ptCount val="5"/>
                <c:pt idx="0">
                  <c:v>-45</c:v>
                </c:pt>
                <c:pt idx="1">
                  <c:v>-2.5</c:v>
                </c:pt>
                <c:pt idx="2">
                  <c:v>0</c:v>
                </c:pt>
                <c:pt idx="3">
                  <c:v>2.5</c:v>
                </c:pt>
                <c:pt idx="4">
                  <c:v>45</c:v>
                </c:pt>
              </c:numCache>
            </c:numRef>
          </c:xVal>
          <c:yVal>
            <c:numRef>
              <c:f>'WR03-06 CW'!$AT$15:$AT$19</c:f>
              <c:numCache>
                <c:formatCode>0.00</c:formatCode>
                <c:ptCount val="5"/>
                <c:pt idx="0">
                  <c:v>-540</c:v>
                </c:pt>
                <c:pt idx="1">
                  <c:v>-500</c:v>
                </c:pt>
                <c:pt idx="2">
                  <c:v>0</c:v>
                </c:pt>
                <c:pt idx="3">
                  <c:v>500</c:v>
                </c:pt>
                <c:pt idx="4">
                  <c:v>540</c:v>
                </c:pt>
              </c:numCache>
            </c:numRef>
          </c:yVal>
          <c:smooth val="0"/>
          <c:extLst>
            <c:ext xmlns:c16="http://schemas.microsoft.com/office/drawing/2014/chart" uri="{C3380CC4-5D6E-409C-BE32-E72D297353CC}">
              <c16:uniqueId val="{00000003-DD38-49C6-BAC3-9BDBDB9EBE72}"/>
            </c:ext>
          </c:extLst>
        </c:ser>
        <c:dLbls>
          <c:showLegendKey val="0"/>
          <c:showVal val="0"/>
          <c:showCatName val="0"/>
          <c:showSerName val="0"/>
          <c:showPercent val="0"/>
          <c:showBubbleSize val="0"/>
        </c:dLbls>
        <c:axId val="1367339119"/>
        <c:axId val="1367339951"/>
      </c:scatterChart>
      <c:valAx>
        <c:axId val="1367339119"/>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Strain - </a:t>
                </a:r>
                <a:r>
                  <a:rPr lang="el-GR" b="1"/>
                  <a:t>ε</a:t>
                </a:r>
                <a:r>
                  <a:rPr lang="en-US" b="1"/>
                  <a:t> [mm/m]</a:t>
                </a:r>
                <a:endParaRPr lang="sr-Latn-RS" b="1"/>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b="1"/>
                  <a:t>Stress</a:t>
                </a:r>
                <a:r>
                  <a:rPr lang="en-US" b="1" baseline="0"/>
                  <a:t> - </a:t>
                </a:r>
                <a:r>
                  <a:rPr lang="el-GR" b="1" baseline="0"/>
                  <a:t>σ</a:t>
                </a:r>
                <a:r>
                  <a:rPr lang="en-US" b="1" baseline="0"/>
                  <a:t> [MPa]</a:t>
                </a:r>
                <a:endParaRPr lang="sr-Latn-RS" b="1"/>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smoothMarker"/>
        <c:varyColors val="0"/>
        <c:dLbls>
          <c:showLegendKey val="0"/>
          <c:showVal val="0"/>
          <c:showCatName val="0"/>
          <c:showSerName val="0"/>
          <c:showPercent val="0"/>
          <c:showBubbleSize val="0"/>
        </c:dLbls>
        <c:axId val="219697088"/>
        <c:axId val="921347520"/>
      </c:scatterChart>
      <c:valAx>
        <c:axId val="219697088"/>
        <c:scaling>
          <c:orientation val="minMax"/>
        </c:scaling>
        <c:delete val="0"/>
        <c:axPos val="b"/>
        <c:majorGridlines>
          <c:spPr>
            <a:ln w="9525" cap="flat" cmpd="sng" algn="ctr">
              <a:solidFill>
                <a:schemeClr val="tx1">
                  <a:lumMod val="15000"/>
                  <a:lumOff val="85000"/>
                </a:schemeClr>
              </a:solidFill>
              <a:round/>
            </a:ln>
            <a:effectLst/>
          </c:spPr>
        </c:majorGridlines>
        <c:numFmt formatCode="0.0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1347520"/>
        <c:crosses val="autoZero"/>
        <c:crossBetween val="midCat"/>
      </c:valAx>
      <c:valAx>
        <c:axId val="9213475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969708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a:t>Design Stress - Strain Plot Concrete</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smoothMarker"/>
        <c:varyColors val="0"/>
        <c:ser>
          <c:idx val="6"/>
          <c:order val="0"/>
          <c:tx>
            <c:v>Unconfined C50/60</c:v>
          </c:tx>
          <c:spPr>
            <a:ln w="19050" cap="rnd">
              <a:solidFill>
                <a:schemeClr val="accent3"/>
              </a:solidFill>
              <a:round/>
            </a:ln>
            <a:effectLst/>
          </c:spPr>
          <c:marker>
            <c:symbol val="none"/>
          </c:marker>
          <c:xVal>
            <c:numRef>
              <c:f>'WR03-01'!$AL$15:$AL$37</c:f>
              <c:numCache>
                <c:formatCode>0.00</c:formatCode>
                <c:ptCount val="23"/>
                <c:pt idx="0">
                  <c:v>-0.1</c:v>
                </c:pt>
                <c:pt idx="1">
                  <c:v>0</c:v>
                </c:pt>
                <c:pt idx="2">
                  <c:v>0.1</c:v>
                </c:pt>
                <c:pt idx="3">
                  <c:v>0.2</c:v>
                </c:pt>
                <c:pt idx="4">
                  <c:v>0.30000000000000004</c:v>
                </c:pt>
                <c:pt idx="5">
                  <c:v>0.4</c:v>
                </c:pt>
                <c:pt idx="6">
                  <c:v>0.5</c:v>
                </c:pt>
                <c:pt idx="7">
                  <c:v>0.6</c:v>
                </c:pt>
                <c:pt idx="8">
                  <c:v>0.7</c:v>
                </c:pt>
                <c:pt idx="9">
                  <c:v>0.79999999999999993</c:v>
                </c:pt>
                <c:pt idx="10">
                  <c:v>0.89999999999999991</c:v>
                </c:pt>
                <c:pt idx="11">
                  <c:v>0.99999999999999989</c:v>
                </c:pt>
                <c:pt idx="12">
                  <c:v>1.0999999999999999</c:v>
                </c:pt>
                <c:pt idx="13">
                  <c:v>1.2</c:v>
                </c:pt>
                <c:pt idx="14">
                  <c:v>1.3</c:v>
                </c:pt>
                <c:pt idx="15">
                  <c:v>1.4000000000000001</c:v>
                </c:pt>
                <c:pt idx="16">
                  <c:v>1.5000000000000002</c:v>
                </c:pt>
                <c:pt idx="17">
                  <c:v>1.6000000000000003</c:v>
                </c:pt>
                <c:pt idx="18">
                  <c:v>1.7000000000000004</c:v>
                </c:pt>
                <c:pt idx="19">
                  <c:v>1.8000000000000005</c:v>
                </c:pt>
                <c:pt idx="20">
                  <c:v>1.9000000000000006</c:v>
                </c:pt>
                <c:pt idx="21">
                  <c:v>2.0000000000000004</c:v>
                </c:pt>
                <c:pt idx="22">
                  <c:v>3.5</c:v>
                </c:pt>
              </c:numCache>
            </c:numRef>
          </c:xVal>
          <c:yVal>
            <c:numRef>
              <c:f>'WR03-01'!$AN$15:$AN$37</c:f>
              <c:numCache>
                <c:formatCode>0.00</c:formatCode>
                <c:ptCount val="23"/>
                <c:pt idx="0">
                  <c:v>-0.1</c:v>
                </c:pt>
                <c:pt idx="1">
                  <c:v>0</c:v>
                </c:pt>
                <c:pt idx="2">
                  <c:v>2.7625000000000011</c:v>
                </c:pt>
                <c:pt idx="3">
                  <c:v>5.383333333333332</c:v>
                </c:pt>
                <c:pt idx="4">
                  <c:v>7.8625000000000016</c:v>
                </c:pt>
                <c:pt idx="5">
                  <c:v>10.199999999999996</c:v>
                </c:pt>
                <c:pt idx="6">
                  <c:v>12.395833333333334</c:v>
                </c:pt>
                <c:pt idx="7">
                  <c:v>14.450000000000001</c:v>
                </c:pt>
                <c:pt idx="8">
                  <c:v>16.362499999999997</c:v>
                </c:pt>
                <c:pt idx="9">
                  <c:v>18.133333333333329</c:v>
                </c:pt>
                <c:pt idx="10">
                  <c:v>19.762499999999999</c:v>
                </c:pt>
                <c:pt idx="11">
                  <c:v>21.25</c:v>
                </c:pt>
                <c:pt idx="12">
                  <c:v>22.595833333333328</c:v>
                </c:pt>
                <c:pt idx="13">
                  <c:v>23.799999999999997</c:v>
                </c:pt>
                <c:pt idx="14">
                  <c:v>24.862499999999997</c:v>
                </c:pt>
                <c:pt idx="15">
                  <c:v>25.783333333333331</c:v>
                </c:pt>
                <c:pt idx="16">
                  <c:v>26.5625</c:v>
                </c:pt>
                <c:pt idx="17">
                  <c:v>27.200000000000003</c:v>
                </c:pt>
                <c:pt idx="18">
                  <c:v>27.695833333333329</c:v>
                </c:pt>
                <c:pt idx="19">
                  <c:v>28.05</c:v>
                </c:pt>
                <c:pt idx="20">
                  <c:v>28.262499999999999</c:v>
                </c:pt>
                <c:pt idx="21">
                  <c:v>28.333333333333332</c:v>
                </c:pt>
                <c:pt idx="22">
                  <c:v>28.333333333333332</c:v>
                </c:pt>
              </c:numCache>
            </c:numRef>
          </c:yVal>
          <c:smooth val="1"/>
          <c:extLst>
            <c:ext xmlns:c16="http://schemas.microsoft.com/office/drawing/2014/chart" uri="{C3380CC4-5D6E-409C-BE32-E72D297353CC}">
              <c16:uniqueId val="{00000001-411C-42AB-8E58-9FA6AA74A2B6}"/>
            </c:ext>
          </c:extLst>
        </c:ser>
        <c:ser>
          <c:idx val="0"/>
          <c:order val="1"/>
          <c:tx>
            <c:v>WR03-01 CW</c:v>
          </c:tx>
          <c:spPr>
            <a:ln w="19050" cap="rnd">
              <a:solidFill>
                <a:schemeClr val="accent1"/>
              </a:solidFill>
              <a:round/>
            </a:ln>
            <a:effectLst/>
          </c:spPr>
          <c:marker>
            <c:symbol val="none"/>
          </c:marker>
          <c:xVal>
            <c:numRef>
              <c:f>'WR03-01 CW'!$AB$15:$AB$37</c:f>
              <c:numCache>
                <c:formatCode>0.00</c:formatCode>
                <c:ptCount val="23"/>
                <c:pt idx="0">
                  <c:v>-0.1</c:v>
                </c:pt>
                <c:pt idx="1">
                  <c:v>0</c:v>
                </c:pt>
                <c:pt idx="2">
                  <c:v>0.1283837366294803</c:v>
                </c:pt>
                <c:pt idx="3">
                  <c:v>0.2567674732589606</c:v>
                </c:pt>
                <c:pt idx="4">
                  <c:v>0.38515120988844087</c:v>
                </c:pt>
                <c:pt idx="5">
                  <c:v>0.5135349465179212</c:v>
                </c:pt>
                <c:pt idx="6">
                  <c:v>0.64191868314740153</c:v>
                </c:pt>
                <c:pt idx="7">
                  <c:v>0.77030241977688185</c:v>
                </c:pt>
                <c:pt idx="8">
                  <c:v>0.89868615640636218</c:v>
                </c:pt>
                <c:pt idx="9">
                  <c:v>1.0270698930358424</c:v>
                </c:pt>
                <c:pt idx="10">
                  <c:v>1.1554536296653226</c:v>
                </c:pt>
                <c:pt idx="11">
                  <c:v>1.2838373662948028</c:v>
                </c:pt>
                <c:pt idx="12">
                  <c:v>1.412221102924283</c:v>
                </c:pt>
                <c:pt idx="13">
                  <c:v>1.5406048395537633</c:v>
                </c:pt>
                <c:pt idx="14">
                  <c:v>1.6689885761832435</c:v>
                </c:pt>
                <c:pt idx="15">
                  <c:v>1.7973723128127237</c:v>
                </c:pt>
                <c:pt idx="16">
                  <c:v>1.9257560494422039</c:v>
                </c:pt>
                <c:pt idx="17">
                  <c:v>2.0541397860716843</c:v>
                </c:pt>
                <c:pt idx="18">
                  <c:v>2.1825235227011648</c:v>
                </c:pt>
                <c:pt idx="19">
                  <c:v>2.3109072593306452</c:v>
                </c:pt>
                <c:pt idx="20">
                  <c:v>2.4392909959601257</c:v>
                </c:pt>
                <c:pt idx="21">
                  <c:v>2.5676747325896061</c:v>
                </c:pt>
                <c:pt idx="22">
                  <c:v>8.8226189233553072</c:v>
                </c:pt>
              </c:numCache>
            </c:numRef>
          </c:xVal>
          <c:yVal>
            <c:numRef>
              <c:f>'WR03-01 CW'!$AE$15:$AE$37</c:f>
              <c:numCache>
                <c:formatCode>0.00</c:formatCode>
                <c:ptCount val="23"/>
                <c:pt idx="0">
                  <c:v>-0.1</c:v>
                </c:pt>
                <c:pt idx="1">
                  <c:v>0</c:v>
                </c:pt>
                <c:pt idx="2">
                  <c:v>3.1300933693942272</c:v>
                </c:pt>
                <c:pt idx="3">
                  <c:v>6.0996691301015664</c:v>
                </c:pt>
                <c:pt idx="4">
                  <c:v>8.9087272821220314</c:v>
                </c:pt>
                <c:pt idx="5">
                  <c:v>11.557267825455598</c:v>
                </c:pt>
                <c:pt idx="6">
                  <c:v>14.045290760102295</c:v>
                </c:pt>
                <c:pt idx="7">
                  <c:v>16.372796086062106</c:v>
                </c:pt>
                <c:pt idx="8">
                  <c:v>18.539783803335038</c:v>
                </c:pt>
                <c:pt idx="9">
                  <c:v>20.546253911921067</c:v>
                </c:pt>
                <c:pt idx="10">
                  <c:v>22.392206411820236</c:v>
                </c:pt>
                <c:pt idx="11">
                  <c:v>24.077641303032507</c:v>
                </c:pt>
                <c:pt idx="12">
                  <c:v>25.602558585557897</c:v>
                </c:pt>
                <c:pt idx="13">
                  <c:v>26.966958259396407</c:v>
                </c:pt>
                <c:pt idx="14">
                  <c:v>28.170840324548028</c:v>
                </c:pt>
                <c:pt idx="15">
                  <c:v>29.214204781012768</c:v>
                </c:pt>
                <c:pt idx="16">
                  <c:v>30.097051628790634</c:v>
                </c:pt>
                <c:pt idx="17">
                  <c:v>30.819380867881605</c:v>
                </c:pt>
                <c:pt idx="18">
                  <c:v>31.381192498285699</c:v>
                </c:pt>
                <c:pt idx="19">
                  <c:v>31.782486520002909</c:v>
                </c:pt>
                <c:pt idx="20">
                  <c:v>32.023262933033237</c:v>
                </c:pt>
                <c:pt idx="21">
                  <c:v>32.103521737376674</c:v>
                </c:pt>
                <c:pt idx="22">
                  <c:v>27.287993476770172</c:v>
                </c:pt>
              </c:numCache>
            </c:numRef>
          </c:yVal>
          <c:smooth val="1"/>
          <c:extLst xmlns:c15="http://schemas.microsoft.com/office/drawing/2012/chart">
            <c:ext xmlns:c16="http://schemas.microsoft.com/office/drawing/2014/chart" uri="{C3380CC4-5D6E-409C-BE32-E72D297353CC}">
              <c16:uniqueId val="{00000004-411C-42AB-8E58-9FA6AA74A2B6}"/>
            </c:ext>
          </c:extLst>
        </c:ser>
        <c:ser>
          <c:idx val="1"/>
          <c:order val="2"/>
          <c:tx>
            <c:v>WR03-04 CW</c:v>
          </c:tx>
          <c:spPr>
            <a:ln w="19050" cap="rnd">
              <a:solidFill>
                <a:schemeClr val="accent2"/>
              </a:solidFill>
              <a:round/>
            </a:ln>
            <a:effectLst/>
          </c:spPr>
          <c:marker>
            <c:symbol val="none"/>
          </c:marker>
          <c:xVal>
            <c:numRef>
              <c:f>'WR03-01 CW'!$AB$15:$AB$37</c:f>
              <c:numCache>
                <c:formatCode>0.00</c:formatCode>
                <c:ptCount val="23"/>
                <c:pt idx="0">
                  <c:v>-0.1</c:v>
                </c:pt>
                <c:pt idx="1">
                  <c:v>0</c:v>
                </c:pt>
                <c:pt idx="2">
                  <c:v>0.1283837366294803</c:v>
                </c:pt>
                <c:pt idx="3">
                  <c:v>0.2567674732589606</c:v>
                </c:pt>
                <c:pt idx="4">
                  <c:v>0.38515120988844087</c:v>
                </c:pt>
                <c:pt idx="5">
                  <c:v>0.5135349465179212</c:v>
                </c:pt>
                <c:pt idx="6">
                  <c:v>0.64191868314740153</c:v>
                </c:pt>
                <c:pt idx="7">
                  <c:v>0.77030241977688185</c:v>
                </c:pt>
                <c:pt idx="8">
                  <c:v>0.89868615640636218</c:v>
                </c:pt>
                <c:pt idx="9">
                  <c:v>1.0270698930358424</c:v>
                </c:pt>
                <c:pt idx="10">
                  <c:v>1.1554536296653226</c:v>
                </c:pt>
                <c:pt idx="11">
                  <c:v>1.2838373662948028</c:v>
                </c:pt>
                <c:pt idx="12">
                  <c:v>1.412221102924283</c:v>
                </c:pt>
                <c:pt idx="13">
                  <c:v>1.5406048395537633</c:v>
                </c:pt>
                <c:pt idx="14">
                  <c:v>1.6689885761832435</c:v>
                </c:pt>
                <c:pt idx="15">
                  <c:v>1.7973723128127237</c:v>
                </c:pt>
                <c:pt idx="16">
                  <c:v>1.9257560494422039</c:v>
                </c:pt>
                <c:pt idx="17">
                  <c:v>2.0541397860716843</c:v>
                </c:pt>
                <c:pt idx="18">
                  <c:v>2.1825235227011648</c:v>
                </c:pt>
                <c:pt idx="19">
                  <c:v>2.3109072593306452</c:v>
                </c:pt>
                <c:pt idx="20">
                  <c:v>2.4392909959601257</c:v>
                </c:pt>
                <c:pt idx="21">
                  <c:v>2.5676747325896061</c:v>
                </c:pt>
                <c:pt idx="22">
                  <c:v>8.8226189233553072</c:v>
                </c:pt>
              </c:numCache>
            </c:numRef>
          </c:xVal>
          <c:yVal>
            <c:numRef>
              <c:f>'WR03-01 CW'!$AE$15:$AE$37</c:f>
              <c:numCache>
                <c:formatCode>0.00</c:formatCode>
                <c:ptCount val="23"/>
                <c:pt idx="0">
                  <c:v>-0.1</c:v>
                </c:pt>
                <c:pt idx="1">
                  <c:v>0</c:v>
                </c:pt>
                <c:pt idx="2">
                  <c:v>3.1300933693942272</c:v>
                </c:pt>
                <c:pt idx="3">
                  <c:v>6.0996691301015664</c:v>
                </c:pt>
                <c:pt idx="4">
                  <c:v>8.9087272821220314</c:v>
                </c:pt>
                <c:pt idx="5">
                  <c:v>11.557267825455598</c:v>
                </c:pt>
                <c:pt idx="6">
                  <c:v>14.045290760102295</c:v>
                </c:pt>
                <c:pt idx="7">
                  <c:v>16.372796086062106</c:v>
                </c:pt>
                <c:pt idx="8">
                  <c:v>18.539783803335038</c:v>
                </c:pt>
                <c:pt idx="9">
                  <c:v>20.546253911921067</c:v>
                </c:pt>
                <c:pt idx="10">
                  <c:v>22.392206411820236</c:v>
                </c:pt>
                <c:pt idx="11">
                  <c:v>24.077641303032507</c:v>
                </c:pt>
                <c:pt idx="12">
                  <c:v>25.602558585557897</c:v>
                </c:pt>
                <c:pt idx="13">
                  <c:v>26.966958259396407</c:v>
                </c:pt>
                <c:pt idx="14">
                  <c:v>28.170840324548028</c:v>
                </c:pt>
                <c:pt idx="15">
                  <c:v>29.214204781012768</c:v>
                </c:pt>
                <c:pt idx="16">
                  <c:v>30.097051628790634</c:v>
                </c:pt>
                <c:pt idx="17">
                  <c:v>30.819380867881605</c:v>
                </c:pt>
                <c:pt idx="18">
                  <c:v>31.381192498285699</c:v>
                </c:pt>
                <c:pt idx="19">
                  <c:v>31.782486520002909</c:v>
                </c:pt>
                <c:pt idx="20">
                  <c:v>32.023262933033237</c:v>
                </c:pt>
                <c:pt idx="21">
                  <c:v>32.103521737376674</c:v>
                </c:pt>
                <c:pt idx="22">
                  <c:v>27.287993476770172</c:v>
                </c:pt>
              </c:numCache>
            </c:numRef>
          </c:yVal>
          <c:smooth val="1"/>
          <c:extLst xmlns:c15="http://schemas.microsoft.com/office/drawing/2012/chart">
            <c:ext xmlns:c16="http://schemas.microsoft.com/office/drawing/2014/chart" uri="{C3380CC4-5D6E-409C-BE32-E72D297353CC}">
              <c16:uniqueId val="{00000005-411C-42AB-8E58-9FA6AA74A2B6}"/>
            </c:ext>
          </c:extLst>
        </c:ser>
        <c:ser>
          <c:idx val="2"/>
          <c:order val="3"/>
          <c:tx>
            <c:v>WR03-05 CW</c:v>
          </c:tx>
          <c:spPr>
            <a:ln w="19050" cap="rnd">
              <a:solidFill>
                <a:schemeClr val="accent3"/>
              </a:solidFill>
              <a:round/>
            </a:ln>
            <a:effectLst/>
          </c:spPr>
          <c:marker>
            <c:symbol val="none"/>
          </c:marker>
          <c:xVal>
            <c:numRef>
              <c:f>'WR03-05 CW'!$AB$15:$AB$37</c:f>
              <c:numCache>
                <c:formatCode>0.00</c:formatCode>
                <c:ptCount val="23"/>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'WR03-05 CW'!$AE$15:$AE$37</c:f>
              <c:numCache>
                <c:formatCode>0.00</c:formatCode>
                <c:ptCount val="23"/>
                <c:pt idx="0">
                  <c:v>-0.1</c:v>
                </c:pt>
                <c:pt idx="1">
                  <c:v>0</c:v>
                </c:pt>
                <c:pt idx="2">
                  <c:v>3.1880730153330492</c:v>
                </c:pt>
                <c:pt idx="3">
                  <c:v>6.2126551068028606</c:v>
                </c:pt>
                <c:pt idx="4">
                  <c:v>9.0737462744094461</c:v>
                </c:pt>
                <c:pt idx="5">
                  <c:v>11.771346518152795</c:v>
                </c:pt>
                <c:pt idx="6">
                  <c:v>14.305455838032907</c:v>
                </c:pt>
                <c:pt idx="7">
                  <c:v>16.676074234049789</c:v>
                </c:pt>
                <c:pt idx="8">
                  <c:v>18.883201706203444</c:v>
                </c:pt>
                <c:pt idx="9">
                  <c:v>20.926838254493852</c:v>
                </c:pt>
                <c:pt idx="10">
                  <c:v>22.806983878921034</c:v>
                </c:pt>
                <c:pt idx="11">
                  <c:v>24.523638579484984</c:v>
                </c:pt>
                <c:pt idx="12">
                  <c:v>26.076802356185706</c:v>
                </c:pt>
                <c:pt idx="13">
                  <c:v>27.466475209023184</c:v>
                </c:pt>
                <c:pt idx="14">
                  <c:v>28.692657137997433</c:v>
                </c:pt>
                <c:pt idx="15">
                  <c:v>29.755348143108446</c:v>
                </c:pt>
                <c:pt idx="16">
                  <c:v>30.654548224356233</c:v>
                </c:pt>
                <c:pt idx="17">
                  <c:v>31.390257381740781</c:v>
                </c:pt>
                <c:pt idx="18">
                  <c:v>31.962475615262097</c:v>
                </c:pt>
                <c:pt idx="19">
                  <c:v>32.371202924920176</c:v>
                </c:pt>
                <c:pt idx="20">
                  <c:v>32.61643931071503</c:v>
                </c:pt>
                <c:pt idx="21">
                  <c:v>32.698184772646648</c:v>
                </c:pt>
                <c:pt idx="22">
                  <c:v>27.793457056749649</c:v>
                </c:pt>
              </c:numCache>
            </c:numRef>
          </c:yVal>
          <c:smooth val="1"/>
          <c:extLst xmlns:c15="http://schemas.microsoft.com/office/drawing/2012/chart">
            <c:ext xmlns:c16="http://schemas.microsoft.com/office/drawing/2014/chart" uri="{C3380CC4-5D6E-409C-BE32-E72D297353CC}">
              <c16:uniqueId val="{00000006-411C-42AB-8E58-9FA6AA74A2B6}"/>
            </c:ext>
          </c:extLst>
        </c:ser>
        <c:ser>
          <c:idx val="4"/>
          <c:order val="4"/>
          <c:tx>
            <c:v>WR03-06</c:v>
          </c:tx>
          <c:spPr>
            <a:ln w="19050" cap="rnd">
              <a:solidFill>
                <a:schemeClr val="accent5"/>
              </a:solidFill>
              <a:round/>
            </a:ln>
            <a:effectLst/>
          </c:spPr>
          <c:marker>
            <c:symbol val="none"/>
          </c:marker>
          <c:xVal>
            <c:numRef>
              <c:f>'WR03-06 CW'!$AB$15:$AB$37</c:f>
              <c:numCache>
                <c:formatCode>0.00</c:formatCode>
                <c:ptCount val="23"/>
                <c:pt idx="0">
                  <c:v>-0.1</c:v>
                </c:pt>
                <c:pt idx="1">
                  <c:v>0</c:v>
                </c:pt>
                <c:pt idx="2">
                  <c:v>0.13318396659979609</c:v>
                </c:pt>
                <c:pt idx="3">
                  <c:v>0.26636793319959218</c:v>
                </c:pt>
                <c:pt idx="4">
                  <c:v>0.39955189979938827</c:v>
                </c:pt>
                <c:pt idx="5">
                  <c:v>0.53273586639918435</c:v>
                </c:pt>
                <c:pt idx="6">
                  <c:v>0.66591983299898039</c:v>
                </c:pt>
                <c:pt idx="7">
                  <c:v>0.79910379959877642</c:v>
                </c:pt>
                <c:pt idx="8">
                  <c:v>0.93228776619857245</c:v>
                </c:pt>
                <c:pt idx="9">
                  <c:v>1.0654717327983685</c:v>
                </c:pt>
                <c:pt idx="10">
                  <c:v>1.1986556993981645</c:v>
                </c:pt>
                <c:pt idx="11">
                  <c:v>1.3318396659979606</c:v>
                </c:pt>
                <c:pt idx="12">
                  <c:v>1.4650236325977566</c:v>
                </c:pt>
                <c:pt idx="13">
                  <c:v>1.5982075991975526</c:v>
                </c:pt>
                <c:pt idx="14">
                  <c:v>1.7313915657973487</c:v>
                </c:pt>
                <c:pt idx="15">
                  <c:v>1.8645755323971447</c:v>
                </c:pt>
                <c:pt idx="16">
                  <c:v>1.9977594989969407</c:v>
                </c:pt>
                <c:pt idx="17">
                  <c:v>2.130943465596737</c:v>
                </c:pt>
                <c:pt idx="18">
                  <c:v>2.264127432196533</c:v>
                </c:pt>
                <c:pt idx="19">
                  <c:v>2.397311398796329</c:v>
                </c:pt>
                <c:pt idx="20">
                  <c:v>2.5304953653961251</c:v>
                </c:pt>
                <c:pt idx="21">
                  <c:v>2.6636793319959211</c:v>
                </c:pt>
                <c:pt idx="22">
                  <c:v>9.6621432084423251</c:v>
                </c:pt>
              </c:numCache>
            </c:numRef>
          </c:xVal>
          <c:yVal>
            <c:numRef>
              <c:f>'WR03-06 CW'!$AE$15:$AE$37</c:f>
              <c:numCache>
                <c:formatCode>0.00</c:formatCode>
                <c:ptCount val="23"/>
                <c:pt idx="0">
                  <c:v>-0.1</c:v>
                </c:pt>
                <c:pt idx="1">
                  <c:v>0</c:v>
                </c:pt>
                <c:pt idx="2">
                  <c:v>3.1880730153330492</c:v>
                </c:pt>
                <c:pt idx="3">
                  <c:v>6.2126551068028606</c:v>
                </c:pt>
                <c:pt idx="4">
                  <c:v>9.0737462744094461</c:v>
                </c:pt>
                <c:pt idx="5">
                  <c:v>11.771346518152795</c:v>
                </c:pt>
                <c:pt idx="6">
                  <c:v>14.305455838032907</c:v>
                </c:pt>
                <c:pt idx="7">
                  <c:v>16.676074234049789</c:v>
                </c:pt>
                <c:pt idx="8">
                  <c:v>18.883201706203444</c:v>
                </c:pt>
                <c:pt idx="9">
                  <c:v>20.926838254493852</c:v>
                </c:pt>
                <c:pt idx="10">
                  <c:v>22.806983878921034</c:v>
                </c:pt>
                <c:pt idx="11">
                  <c:v>24.523638579484984</c:v>
                </c:pt>
                <c:pt idx="12">
                  <c:v>26.076802356185706</c:v>
                </c:pt>
                <c:pt idx="13">
                  <c:v>27.466475209023184</c:v>
                </c:pt>
                <c:pt idx="14">
                  <c:v>28.692657137997433</c:v>
                </c:pt>
                <c:pt idx="15">
                  <c:v>29.755348143108446</c:v>
                </c:pt>
                <c:pt idx="16">
                  <c:v>30.654548224356233</c:v>
                </c:pt>
                <c:pt idx="17">
                  <c:v>31.390257381740781</c:v>
                </c:pt>
                <c:pt idx="18">
                  <c:v>31.962475615262097</c:v>
                </c:pt>
                <c:pt idx="19">
                  <c:v>32.371202924920176</c:v>
                </c:pt>
                <c:pt idx="20">
                  <c:v>32.61643931071503</c:v>
                </c:pt>
                <c:pt idx="21">
                  <c:v>32.698184772646648</c:v>
                </c:pt>
                <c:pt idx="22">
                  <c:v>27.793457056749649</c:v>
                </c:pt>
              </c:numCache>
            </c:numRef>
          </c:yVal>
          <c:smooth val="1"/>
          <c:extLst>
            <c:ext xmlns:c16="http://schemas.microsoft.com/office/drawing/2014/chart" uri="{C3380CC4-5D6E-409C-BE32-E72D297353CC}">
              <c16:uniqueId val="{00000000-411C-42AB-8E58-9FA6AA74A2B6}"/>
            </c:ext>
          </c:extLst>
        </c:ser>
        <c:dLbls>
          <c:showLegendKey val="0"/>
          <c:showVal val="0"/>
          <c:showCatName val="0"/>
          <c:showSerName val="0"/>
          <c:showPercent val="0"/>
          <c:showBubbleSize val="0"/>
        </c:dLbls>
        <c:axId val="921350848"/>
        <c:axId val="921363744"/>
        <c:extLst/>
      </c:scatterChart>
      <c:valAx>
        <c:axId val="921350848"/>
        <c:scaling>
          <c:orientation val="minMax"/>
        </c:scaling>
        <c:delete val="0"/>
        <c:axPos val="b"/>
        <c:majorGridlines>
          <c:spPr>
            <a:ln w="6350" cap="flat" cmpd="sng" algn="ctr">
              <a:solidFill>
                <a:schemeClr val="bg1"/>
              </a:solidFill>
              <a:prstDash val="solid"/>
              <a:miter lim="800000"/>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Strain - </a:t>
                </a:r>
                <a:r>
                  <a:rPr lang="el-GR"/>
                  <a:t>ε</a:t>
                </a:r>
                <a:r>
                  <a:rPr lang="en-US"/>
                  <a:t> [mm/m]</a:t>
                </a:r>
                <a:endParaRPr lang="sr-Latn-RS"/>
              </a:p>
            </c:rich>
          </c:tx>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bg1">
                    <a:lumMod val="20000"/>
                    <a:lumOff val="80000"/>
                  </a:schemeClr>
                </a:solidFill>
                <a:latin typeface="+mn-lt"/>
                <a:ea typeface="+mn-ea"/>
                <a:cs typeface="+mn-cs"/>
              </a:defRPr>
            </a:pPr>
            <a:endParaRPr lang="en-US"/>
          </a:p>
        </c:txPr>
        <c:crossAx val="921363744"/>
        <c:crosses val="autoZero"/>
        <c:crossBetween val="midCat"/>
      </c:valAx>
      <c:valAx>
        <c:axId val="921363744"/>
        <c:scaling>
          <c:orientation val="minMax"/>
        </c:scaling>
        <c:delete val="0"/>
        <c:axPos val="l"/>
        <c:majorGridlines>
          <c:spPr>
            <a:ln w="6350" cap="flat" cmpd="sng" algn="ctr">
              <a:solidFill>
                <a:schemeClr val="bg1"/>
              </a:solidFill>
              <a:prstDash val="solid"/>
              <a:miter lim="800000"/>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Stress - </a:t>
                </a:r>
                <a:r>
                  <a:rPr lang="el-GR"/>
                  <a:t>σ</a:t>
                </a:r>
                <a:r>
                  <a:rPr lang="en-US"/>
                  <a:t> [MPa]</a:t>
                </a:r>
                <a:endParaRPr lang="sr-Latn-RS"/>
              </a:p>
            </c:rich>
          </c:tx>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bg1">
                    <a:lumMod val="20000"/>
                    <a:lumOff val="80000"/>
                  </a:schemeClr>
                </a:solidFill>
                <a:latin typeface="+mn-lt"/>
                <a:ea typeface="+mn-ea"/>
                <a:cs typeface="+mn-cs"/>
              </a:defRPr>
            </a:pPr>
            <a:endParaRPr lang="en-US"/>
          </a:p>
        </c:txPr>
        <c:crossAx val="92135084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4366"/>
    </a:solidFill>
    <a:ln w="9525" cap="flat" cmpd="sng" algn="ctr">
      <a:solidFill>
        <a:schemeClr val="tx1">
          <a:lumMod val="15000"/>
          <a:lumOff val="85000"/>
        </a:schemeClr>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r>
              <a:rPr lang="en-US"/>
              <a:t>Design Stress - Strain Plot Reinforcement</a:t>
            </a:r>
          </a:p>
        </c:rich>
      </c:tx>
      <c:overlay val="0"/>
      <c:spPr>
        <a:noFill/>
        <a:ln>
          <a:noFill/>
        </a:ln>
        <a:effectLst/>
      </c:spPr>
      <c:txPr>
        <a:bodyPr rot="0" spcFirstLastPara="1" vertOverflow="ellipsis" vert="horz" wrap="square" anchor="ctr" anchorCtr="1"/>
        <a:lstStyle/>
        <a:p>
          <a:pPr>
            <a:defRPr lang="en-US" sz="1200" b="0" i="0" u="none" strike="noStrike" kern="1200" spc="0" baseline="0">
              <a:solidFill>
                <a:schemeClr val="tx1"/>
              </a:solidFill>
              <a:latin typeface="+mn-lt"/>
              <a:ea typeface="+mn-ea"/>
              <a:cs typeface="+mn-cs"/>
            </a:defRPr>
          </a:pPr>
          <a:endParaRPr lang="en-US"/>
        </a:p>
      </c:txPr>
    </c:title>
    <c:autoTitleDeleted val="0"/>
    <c:plotArea>
      <c:layout/>
      <c:scatterChart>
        <c:scatterStyle val="lineMarker"/>
        <c:varyColors val="0"/>
        <c:ser>
          <c:idx val="2"/>
          <c:order val="2"/>
          <c:tx>
            <c:v>RFT - With Hardening [D]</c:v>
          </c:tx>
          <c:spPr>
            <a:ln w="19050" cap="rnd">
              <a:solidFill>
                <a:schemeClr val="accent3"/>
              </a:solidFill>
              <a:round/>
            </a:ln>
            <a:effectLst/>
          </c:spPr>
          <c:marker>
            <c:symbol val="none"/>
          </c:marker>
          <c:xVal>
            <c:numRef>
              <c:f>'WR03-01'!$AS$24:$AS$28</c:f>
              <c:numCache>
                <c:formatCode>0.00</c:formatCode>
                <c:ptCount val="5"/>
                <c:pt idx="0">
                  <c:v>-45</c:v>
                </c:pt>
                <c:pt idx="1">
                  <c:v>-2.1739130434782612</c:v>
                </c:pt>
                <c:pt idx="2">
                  <c:v>0</c:v>
                </c:pt>
                <c:pt idx="3">
                  <c:v>2.1739130434782612</c:v>
                </c:pt>
                <c:pt idx="4">
                  <c:v>45</c:v>
                </c:pt>
              </c:numCache>
            </c:numRef>
          </c:xVal>
          <c:yVal>
            <c:numRef>
              <c:f>'WR03-01'!$AT$24:$AT$28</c:f>
              <c:numCache>
                <c:formatCode>0.00</c:formatCode>
                <c:ptCount val="5"/>
                <c:pt idx="0">
                  <c:v>-469.56521739130437</c:v>
                </c:pt>
                <c:pt idx="1">
                  <c:v>-434.78260869565219</c:v>
                </c:pt>
                <c:pt idx="2">
                  <c:v>0</c:v>
                </c:pt>
                <c:pt idx="3">
                  <c:v>434.78260869565219</c:v>
                </c:pt>
                <c:pt idx="4">
                  <c:v>469.56521739130437</c:v>
                </c:pt>
              </c:numCache>
            </c:numRef>
          </c:yVal>
          <c:smooth val="0"/>
          <c:extLst>
            <c:ext xmlns:c16="http://schemas.microsoft.com/office/drawing/2014/chart" uri="{C3380CC4-5D6E-409C-BE32-E72D297353CC}">
              <c16:uniqueId val="{00000000-F638-4A1E-AAD6-CB3ADD6860B1}"/>
            </c:ext>
          </c:extLst>
        </c:ser>
        <c:dLbls>
          <c:showLegendKey val="0"/>
          <c:showVal val="0"/>
          <c:showCatName val="0"/>
          <c:showSerName val="0"/>
          <c:showPercent val="0"/>
          <c:showBubbleSize val="0"/>
        </c:dLbls>
        <c:axId val="1367339119"/>
        <c:axId val="1367339951"/>
        <c:extLst>
          <c:ext xmlns:c15="http://schemas.microsoft.com/office/drawing/2012/chart" uri="{02D57815-91ED-43cb-92C2-25804820EDAC}">
            <c15:filteredScatterSeries>
              <c15:ser>
                <c:idx val="0"/>
                <c:order val="0"/>
                <c:tx>
                  <c:v>RFT - Without Hardening [D]</c:v>
                </c:tx>
                <c:spPr>
                  <a:ln w="19050" cap="rnd">
                    <a:solidFill>
                      <a:schemeClr val="accent1"/>
                    </a:solidFill>
                    <a:round/>
                  </a:ln>
                  <a:effectLst/>
                </c:spPr>
                <c:marker>
                  <c:symbol val="none"/>
                </c:marker>
                <c:xVal>
                  <c:numRef>
                    <c:extLst>
                      <c:ext uri="{02D57815-91ED-43cb-92C2-25804820EDAC}">
                        <c15:formulaRef>
                          <c15:sqref>'WR03-01'!$AP$24:$AP$28</c15:sqref>
                        </c15:formulaRef>
                      </c:ext>
                    </c:extLst>
                    <c:numCache>
                      <c:formatCode>0.00</c:formatCode>
                      <c:ptCount val="5"/>
                      <c:pt idx="0">
                        <c:v>-45</c:v>
                      </c:pt>
                      <c:pt idx="1">
                        <c:v>-2.1739130434782608</c:v>
                      </c:pt>
                      <c:pt idx="2">
                        <c:v>0</c:v>
                      </c:pt>
                      <c:pt idx="3">
                        <c:v>2.1739130434782608</c:v>
                      </c:pt>
                      <c:pt idx="4">
                        <c:v>45</c:v>
                      </c:pt>
                    </c:numCache>
                  </c:numRef>
                </c:xVal>
                <c:yVal>
                  <c:numRef>
                    <c:extLst>
                      <c:ext uri="{02D57815-91ED-43cb-92C2-25804820EDAC}">
                        <c15:formulaRef>
                          <c15:sqref>'WR03-01'!$AQ$24:$AQ$28</c15:sqref>
                        </c15:formulaRef>
                      </c:ext>
                    </c:extLst>
                    <c:numCache>
                      <c:formatCode>0.00</c:formatCode>
                      <c:ptCount val="5"/>
                      <c:pt idx="0">
                        <c:v>-434.78260869565219</c:v>
                      </c:pt>
                      <c:pt idx="1">
                        <c:v>-434.78260869565219</c:v>
                      </c:pt>
                      <c:pt idx="2">
                        <c:v>0</c:v>
                      </c:pt>
                      <c:pt idx="3">
                        <c:v>434.78260869565219</c:v>
                      </c:pt>
                      <c:pt idx="4">
                        <c:v>434.78260869565219</c:v>
                      </c:pt>
                    </c:numCache>
                  </c:numRef>
                </c:yVal>
                <c:smooth val="0"/>
                <c:extLst>
                  <c:ext xmlns:c16="http://schemas.microsoft.com/office/drawing/2014/chart" uri="{C3380CC4-5D6E-409C-BE32-E72D297353CC}">
                    <c16:uniqueId val="{00000001-F638-4A1E-AAD6-CB3ADD6860B1}"/>
                  </c:ext>
                </c:extLst>
              </c15:ser>
            </c15:filteredScatterSeries>
            <c15:filteredScatterSeries>
              <c15:ser>
                <c:idx val="1"/>
                <c:order val="1"/>
                <c:tx>
                  <c:v>RFT - Without Hardening [C]</c:v>
                </c:tx>
                <c:spPr>
                  <a:ln w="19050" cap="rnd">
                    <a:solidFill>
                      <a:schemeClr val="accent2"/>
                    </a:solidFill>
                    <a:round/>
                  </a:ln>
                  <a:effectLst/>
                </c:spPr>
                <c:marker>
                  <c:symbol val="none"/>
                </c:marker>
                <c:xVal>
                  <c:numRef>
                    <c:extLst xmlns:c15="http://schemas.microsoft.com/office/drawing/2012/chart">
                      <c:ext xmlns:c15="http://schemas.microsoft.com/office/drawing/2012/chart" uri="{02D57815-91ED-43cb-92C2-25804820EDAC}">
                        <c15:formulaRef>
                          <c15:sqref>'WR03-01'!$AP$15:$AP$19</c15:sqref>
                        </c15:formulaRef>
                      </c:ext>
                    </c:extLst>
                    <c:numCache>
                      <c:formatCode>0.00</c:formatCode>
                      <c:ptCount val="5"/>
                      <c:pt idx="0">
                        <c:v>-45</c:v>
                      </c:pt>
                      <c:pt idx="1">
                        <c:v>-2.5</c:v>
                      </c:pt>
                      <c:pt idx="2">
                        <c:v>0</c:v>
                      </c:pt>
                      <c:pt idx="3">
                        <c:v>2.5</c:v>
                      </c:pt>
                      <c:pt idx="4">
                        <c:v>45</c:v>
                      </c:pt>
                    </c:numCache>
                  </c:numRef>
                </c:xVal>
                <c:yVal>
                  <c:numRef>
                    <c:extLst xmlns:c15="http://schemas.microsoft.com/office/drawing/2012/chart">
                      <c:ext xmlns:c15="http://schemas.microsoft.com/office/drawing/2012/chart" uri="{02D57815-91ED-43cb-92C2-25804820EDAC}">
                        <c15:formulaRef>
                          <c15:sqref>'WR03-01'!$AQ$15:$AQ$19</c15:sqref>
                        </c15:formulaRef>
                      </c:ext>
                    </c:extLst>
                    <c:numCache>
                      <c:formatCode>0.00</c:formatCode>
                      <c:ptCount val="5"/>
                      <c:pt idx="0">
                        <c:v>-500</c:v>
                      </c:pt>
                      <c:pt idx="1">
                        <c:v>-500</c:v>
                      </c:pt>
                      <c:pt idx="2">
                        <c:v>0</c:v>
                      </c:pt>
                      <c:pt idx="3">
                        <c:v>500</c:v>
                      </c:pt>
                      <c:pt idx="4">
                        <c:v>500</c:v>
                      </c:pt>
                    </c:numCache>
                  </c:numRef>
                </c:yVal>
                <c:smooth val="0"/>
                <c:extLst xmlns:c15="http://schemas.microsoft.com/office/drawing/2012/chart">
                  <c:ext xmlns:c16="http://schemas.microsoft.com/office/drawing/2014/chart" uri="{C3380CC4-5D6E-409C-BE32-E72D297353CC}">
                    <c16:uniqueId val="{00000002-F638-4A1E-AAD6-CB3ADD6860B1}"/>
                  </c:ext>
                </c:extLst>
              </c15:ser>
            </c15:filteredScatterSeries>
            <c15:filteredScatterSeries>
              <c15:ser>
                <c:idx val="3"/>
                <c:order val="3"/>
                <c:tx>
                  <c:v>RFT - With Hardening [C]</c:v>
                </c:tx>
                <c:spPr>
                  <a:ln w="19050" cap="rnd">
                    <a:solidFill>
                      <a:schemeClr val="accent4"/>
                    </a:solidFill>
                    <a:round/>
                  </a:ln>
                  <a:effectLst/>
                </c:spPr>
                <c:marker>
                  <c:symbol val="none"/>
                </c:marker>
                <c:xVal>
                  <c:numRef>
                    <c:extLst xmlns:c15="http://schemas.microsoft.com/office/drawing/2012/chart">
                      <c:ext xmlns:c15="http://schemas.microsoft.com/office/drawing/2012/chart" uri="{02D57815-91ED-43cb-92C2-25804820EDAC}">
                        <c15:formulaRef>
                          <c15:sqref>'WR03-01'!$AS$15:$AS$19</c15:sqref>
                        </c15:formulaRef>
                      </c:ext>
                    </c:extLst>
                    <c:numCache>
                      <c:formatCode>0.00</c:formatCode>
                      <c:ptCount val="5"/>
                      <c:pt idx="0">
                        <c:v>-45</c:v>
                      </c:pt>
                      <c:pt idx="1">
                        <c:v>-2.5</c:v>
                      </c:pt>
                      <c:pt idx="2">
                        <c:v>0</c:v>
                      </c:pt>
                      <c:pt idx="3">
                        <c:v>2.5</c:v>
                      </c:pt>
                      <c:pt idx="4">
                        <c:v>45</c:v>
                      </c:pt>
                    </c:numCache>
                  </c:numRef>
                </c:xVal>
                <c:yVal>
                  <c:numRef>
                    <c:extLst xmlns:c15="http://schemas.microsoft.com/office/drawing/2012/chart">
                      <c:ext xmlns:c15="http://schemas.microsoft.com/office/drawing/2012/chart" uri="{02D57815-91ED-43cb-92C2-25804820EDAC}">
                        <c15:formulaRef>
                          <c15:sqref>'WR03-01'!$AT$15:$AT$19</c15:sqref>
                        </c15:formulaRef>
                      </c:ext>
                    </c:extLst>
                    <c:numCache>
                      <c:formatCode>0.00</c:formatCode>
                      <c:ptCount val="5"/>
                      <c:pt idx="0">
                        <c:v>-540</c:v>
                      </c:pt>
                      <c:pt idx="1">
                        <c:v>-500</c:v>
                      </c:pt>
                      <c:pt idx="2">
                        <c:v>0</c:v>
                      </c:pt>
                      <c:pt idx="3">
                        <c:v>500</c:v>
                      </c:pt>
                      <c:pt idx="4">
                        <c:v>540</c:v>
                      </c:pt>
                    </c:numCache>
                  </c:numRef>
                </c:yVal>
                <c:smooth val="0"/>
                <c:extLst xmlns:c15="http://schemas.microsoft.com/office/drawing/2012/chart">
                  <c:ext xmlns:c16="http://schemas.microsoft.com/office/drawing/2014/chart" uri="{C3380CC4-5D6E-409C-BE32-E72D297353CC}">
                    <c16:uniqueId val="{00000003-F638-4A1E-AAD6-CB3ADD6860B1}"/>
                  </c:ext>
                </c:extLst>
              </c15:ser>
            </c15:filteredScatterSeries>
          </c:ext>
        </c:extLst>
      </c:scatterChart>
      <c:valAx>
        <c:axId val="1367339119"/>
        <c:scaling>
          <c:orientation val="minMax"/>
        </c:scaling>
        <c:delete val="0"/>
        <c:axPos val="b"/>
        <c:majorGridlines>
          <c:spPr>
            <a:ln w="6350" cap="flat" cmpd="sng" algn="ctr">
              <a:solidFill>
                <a:schemeClr val="bg1">
                  <a:lumMod val="60000"/>
                  <a:lumOff val="40000"/>
                </a:schemeClr>
              </a:solidFill>
              <a:prstDash val="solid"/>
              <a:miter lim="800000"/>
            </a:ln>
            <a:effectLst/>
          </c:spPr>
        </c:majorGridlines>
        <c:title>
          <c:tx>
            <c:rich>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Strain - </a:t>
                </a:r>
                <a:r>
                  <a:rPr lang="el-GR"/>
                  <a:t>ε</a:t>
                </a:r>
                <a:r>
                  <a:rPr lang="en-US"/>
                  <a:t> [mm/m]</a:t>
                </a:r>
                <a:endParaRPr lang="sr-Latn-RS"/>
              </a:p>
            </c:rich>
          </c:tx>
          <c:layout>
            <c:manualLayout>
              <c:xMode val="edge"/>
              <c:yMode val="edge"/>
              <c:x val="0.42519202516164684"/>
              <c:y val="0.85022993678544256"/>
            </c:manualLayout>
          </c:layout>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bg1">
                    <a:lumMod val="20000"/>
                    <a:lumOff val="80000"/>
                  </a:schemeClr>
                </a:solidFill>
                <a:latin typeface="+mn-lt"/>
                <a:ea typeface="+mn-ea"/>
                <a:cs typeface="+mn-cs"/>
              </a:defRPr>
            </a:pPr>
            <a:endParaRPr lang="en-US"/>
          </a:p>
        </c:txPr>
        <c:crossAx val="1367339951"/>
        <c:crosses val="autoZero"/>
        <c:crossBetween val="midCat"/>
      </c:valAx>
      <c:valAx>
        <c:axId val="1367339951"/>
        <c:scaling>
          <c:orientation val="minMax"/>
        </c:scaling>
        <c:delete val="0"/>
        <c:axPos val="l"/>
        <c:majorGridlines>
          <c:spPr>
            <a:ln w="6350" cap="flat" cmpd="sng" algn="ctr">
              <a:solidFill>
                <a:schemeClr val="bg1"/>
              </a:solidFill>
              <a:prstDash val="solid"/>
              <a:miter lim="800000"/>
            </a:ln>
            <a:effectLst/>
          </c:spPr>
        </c:majorGridlines>
        <c:title>
          <c:tx>
            <c:rich>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r>
                  <a:rPr lang="en-US"/>
                  <a:t>Stress - </a:t>
                </a:r>
                <a:r>
                  <a:rPr lang="el-GR"/>
                  <a:t>σ</a:t>
                </a:r>
                <a:r>
                  <a:rPr lang="en-US"/>
                  <a:t> [MPa]</a:t>
                </a:r>
                <a:endParaRPr lang="sr-Latn-RS"/>
              </a:p>
            </c:rich>
          </c:tx>
          <c:layout>
            <c:manualLayout>
              <c:xMode val="edge"/>
              <c:yMode val="edge"/>
              <c:x val="1.961210650701897E-3"/>
              <c:y val="0.34888146441610585"/>
            </c:manualLayout>
          </c:layout>
          <c:overlay val="0"/>
          <c:spPr>
            <a:noFill/>
            <a:ln>
              <a:noFill/>
            </a:ln>
            <a:effectLst/>
          </c:spPr>
          <c:txPr>
            <a:bodyPr rot="-54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367339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334366"/>
    </a:solidFill>
    <a:ln w="9525" cap="flat" cmpd="sng" algn="ctr">
      <a:solidFill>
        <a:schemeClr val="tx1">
          <a:lumMod val="15000"/>
          <a:lumOff val="85000"/>
        </a:schemeClr>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1.xml"/><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3.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5.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7.xml"/><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12.xml"/><Relationship Id="rId4"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14.xml"/><Relationship Id="rId4"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chart" Target="../charts/chart16.xml"/><Relationship Id="rId4"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editAs="oneCell">
    <xdr:from>
      <xdr:col>2</xdr:col>
      <xdr:colOff>66674</xdr:colOff>
      <xdr:row>20</xdr:row>
      <xdr:rowOff>193965</xdr:rowOff>
    </xdr:from>
    <xdr:to>
      <xdr:col>12</xdr:col>
      <xdr:colOff>137035</xdr:colOff>
      <xdr:row>39</xdr:row>
      <xdr:rowOff>154133</xdr:rowOff>
    </xdr:to>
    <xdr:pic>
      <xdr:nvPicPr>
        <xdr:cNvPr id="3" name="Picture 2">
          <a:extLst>
            <a:ext uri="{FF2B5EF4-FFF2-40B4-BE49-F238E27FC236}">
              <a16:creationId xmlns:a16="http://schemas.microsoft.com/office/drawing/2014/main" id="{064BFF35-95C8-42EC-B807-77741123FD65}"/>
            </a:ext>
          </a:extLst>
        </xdr:cNvPr>
        <xdr:cNvPicPr>
          <a:picLocks noChangeAspect="1"/>
        </xdr:cNvPicPr>
      </xdr:nvPicPr>
      <xdr:blipFill>
        <a:blip xmlns:r="http://schemas.openxmlformats.org/officeDocument/2006/relationships" r:embed="rId1"/>
        <a:stretch>
          <a:fillRect/>
        </a:stretch>
      </xdr:blipFill>
      <xdr:spPr>
        <a:xfrm>
          <a:off x="1278947" y="5181601"/>
          <a:ext cx="6131724" cy="4895850"/>
        </a:xfrm>
        <a:prstGeom prst="rect">
          <a:avLst/>
        </a:prstGeom>
        <a:ln>
          <a:solidFill>
            <a:sysClr val="windowText" lastClr="000000"/>
          </a:solidFill>
        </a:ln>
      </xdr:spPr>
    </xdr:pic>
    <xdr:clientData/>
  </xdr:twoCellAnchor>
  <xdr:twoCellAnchor editAs="oneCell">
    <xdr:from>
      <xdr:col>13</xdr:col>
      <xdr:colOff>36368</xdr:colOff>
      <xdr:row>20</xdr:row>
      <xdr:rowOff>157595</xdr:rowOff>
    </xdr:from>
    <xdr:to>
      <xdr:col>23</xdr:col>
      <xdr:colOff>201741</xdr:colOff>
      <xdr:row>39</xdr:row>
      <xdr:rowOff>146338</xdr:rowOff>
    </xdr:to>
    <xdr:pic>
      <xdr:nvPicPr>
        <xdr:cNvPr id="4" name="Picture 3">
          <a:extLst>
            <a:ext uri="{FF2B5EF4-FFF2-40B4-BE49-F238E27FC236}">
              <a16:creationId xmlns:a16="http://schemas.microsoft.com/office/drawing/2014/main" id="{F863F7E6-8770-404C-8BA9-1F71152858E7}"/>
            </a:ext>
          </a:extLst>
        </xdr:cNvPr>
        <xdr:cNvPicPr>
          <a:picLocks noChangeAspect="1"/>
        </xdr:cNvPicPr>
      </xdr:nvPicPr>
      <xdr:blipFill>
        <a:blip xmlns:r="http://schemas.openxmlformats.org/officeDocument/2006/relationships" r:embed="rId2"/>
        <a:stretch>
          <a:fillRect/>
        </a:stretch>
      </xdr:blipFill>
      <xdr:spPr>
        <a:xfrm>
          <a:off x="7916141" y="5145231"/>
          <a:ext cx="6226736" cy="4924425"/>
        </a:xfrm>
        <a:prstGeom prst="rect">
          <a:avLst/>
        </a:prstGeom>
        <a:ln>
          <a:solidFill>
            <a:sysClr val="windowText" lastClr="000000"/>
          </a:solidFill>
        </a:ln>
      </xdr:spPr>
    </xdr:pic>
    <xdr:clientData/>
  </xdr:twoCellAnchor>
  <xdr:twoCellAnchor editAs="oneCell">
    <xdr:from>
      <xdr:col>1</xdr:col>
      <xdr:colOff>588819</xdr:colOff>
      <xdr:row>45</xdr:row>
      <xdr:rowOff>51955</xdr:rowOff>
    </xdr:from>
    <xdr:to>
      <xdr:col>15</xdr:col>
      <xdr:colOff>331481</xdr:colOff>
      <xdr:row>65</xdr:row>
      <xdr:rowOff>13384</xdr:rowOff>
    </xdr:to>
    <xdr:pic>
      <xdr:nvPicPr>
        <xdr:cNvPr id="2" name="Picture 1">
          <a:extLst>
            <a:ext uri="{FF2B5EF4-FFF2-40B4-BE49-F238E27FC236}">
              <a16:creationId xmlns:a16="http://schemas.microsoft.com/office/drawing/2014/main" id="{9EB33912-0405-47A4-B915-6EB7F74DFF6D}"/>
            </a:ext>
          </a:extLst>
        </xdr:cNvPr>
        <xdr:cNvPicPr>
          <a:picLocks noChangeAspect="1"/>
        </xdr:cNvPicPr>
      </xdr:nvPicPr>
      <xdr:blipFill>
        <a:blip xmlns:r="http://schemas.openxmlformats.org/officeDocument/2006/relationships" r:embed="rId3"/>
        <a:stretch>
          <a:fillRect/>
        </a:stretch>
      </xdr:blipFill>
      <xdr:spPr>
        <a:xfrm>
          <a:off x="1194955" y="7446819"/>
          <a:ext cx="8228571" cy="3771429"/>
        </a:xfrm>
        <a:prstGeom prst="rect">
          <a:avLst/>
        </a:prstGeom>
        <a:ln>
          <a:solidFill>
            <a:sysClr val="windowText" lastClr="000000"/>
          </a:solidFill>
        </a:ln>
      </xdr:spPr>
    </xdr:pic>
    <xdr:clientData/>
  </xdr:twoCellAnchor>
  <xdr:twoCellAnchor editAs="oneCell">
    <xdr:from>
      <xdr:col>16</xdr:col>
      <xdr:colOff>103909</xdr:colOff>
      <xdr:row>45</xdr:row>
      <xdr:rowOff>69272</xdr:rowOff>
    </xdr:from>
    <xdr:to>
      <xdr:col>29</xdr:col>
      <xdr:colOff>357469</xdr:colOff>
      <xdr:row>59</xdr:row>
      <xdr:rowOff>21320</xdr:rowOff>
    </xdr:to>
    <xdr:pic>
      <xdr:nvPicPr>
        <xdr:cNvPr id="5" name="Picture 4">
          <a:extLst>
            <a:ext uri="{FF2B5EF4-FFF2-40B4-BE49-F238E27FC236}">
              <a16:creationId xmlns:a16="http://schemas.microsoft.com/office/drawing/2014/main" id="{81E11AF8-ECC2-4E4E-9253-151BE208F551}"/>
            </a:ext>
          </a:extLst>
        </xdr:cNvPr>
        <xdr:cNvPicPr>
          <a:picLocks noChangeAspect="1"/>
        </xdr:cNvPicPr>
      </xdr:nvPicPr>
      <xdr:blipFill>
        <a:blip xmlns:r="http://schemas.openxmlformats.org/officeDocument/2006/relationships" r:embed="rId4"/>
        <a:stretch>
          <a:fillRect/>
        </a:stretch>
      </xdr:blipFill>
      <xdr:spPr>
        <a:xfrm>
          <a:off x="9802091" y="11412681"/>
          <a:ext cx="8133333" cy="2619048"/>
        </a:xfrm>
        <a:prstGeom prst="rect">
          <a:avLst/>
        </a:prstGeom>
        <a:ln>
          <a:solidFill>
            <a:sysClr val="windowText" lastClr="000000"/>
          </a:solidFill>
        </a:ln>
      </xdr:spPr>
    </xdr:pic>
    <xdr:clientData/>
  </xdr:twoCellAnchor>
  <xdr:twoCellAnchor editAs="oneCell">
    <xdr:from>
      <xdr:col>9</xdr:col>
      <xdr:colOff>554183</xdr:colOff>
      <xdr:row>5</xdr:row>
      <xdr:rowOff>86592</xdr:rowOff>
    </xdr:from>
    <xdr:to>
      <xdr:col>19</xdr:col>
      <xdr:colOff>321390</xdr:colOff>
      <xdr:row>16</xdr:row>
      <xdr:rowOff>257663</xdr:rowOff>
    </xdr:to>
    <xdr:pic>
      <xdr:nvPicPr>
        <xdr:cNvPr id="6" name="Picture 5">
          <a:extLst>
            <a:ext uri="{FF2B5EF4-FFF2-40B4-BE49-F238E27FC236}">
              <a16:creationId xmlns:a16="http://schemas.microsoft.com/office/drawing/2014/main" id="{35AF6E3F-A9F3-470C-A843-184E989B7EE0}"/>
            </a:ext>
          </a:extLst>
        </xdr:cNvPr>
        <xdr:cNvPicPr>
          <a:picLocks noChangeAspect="1"/>
        </xdr:cNvPicPr>
      </xdr:nvPicPr>
      <xdr:blipFill>
        <a:blip xmlns:r="http://schemas.openxmlformats.org/officeDocument/2006/relationships" r:embed="rId5"/>
        <a:stretch>
          <a:fillRect/>
        </a:stretch>
      </xdr:blipFill>
      <xdr:spPr>
        <a:xfrm>
          <a:off x="6009410" y="1177637"/>
          <a:ext cx="5828571" cy="3028571"/>
        </a:xfrm>
        <a:prstGeom prst="rect">
          <a:avLst/>
        </a:prstGeom>
        <a:ln>
          <a:solidFill>
            <a:sysClr val="windowText" lastClr="000000"/>
          </a:solidFill>
        </a:ln>
      </xdr:spPr>
    </xdr:pic>
    <xdr:clientData/>
  </xdr:twoCellAnchor>
  <xdr:twoCellAnchor editAs="oneCell">
    <xdr:from>
      <xdr:col>2</xdr:col>
      <xdr:colOff>69274</xdr:colOff>
      <xdr:row>6</xdr:row>
      <xdr:rowOff>17318</xdr:rowOff>
    </xdr:from>
    <xdr:to>
      <xdr:col>6</xdr:col>
      <xdr:colOff>178062</xdr:colOff>
      <xdr:row>16</xdr:row>
      <xdr:rowOff>124353</xdr:rowOff>
    </xdr:to>
    <xdr:pic>
      <xdr:nvPicPr>
        <xdr:cNvPr id="7" name="Picture 6">
          <a:extLst>
            <a:ext uri="{FF2B5EF4-FFF2-40B4-BE49-F238E27FC236}">
              <a16:creationId xmlns:a16="http://schemas.microsoft.com/office/drawing/2014/main" id="{71841917-EBD6-4469-9D3F-3C0E2D3C410A}"/>
            </a:ext>
          </a:extLst>
        </xdr:cNvPr>
        <xdr:cNvPicPr>
          <a:picLocks noChangeAspect="1"/>
        </xdr:cNvPicPr>
      </xdr:nvPicPr>
      <xdr:blipFill>
        <a:blip xmlns:r="http://schemas.openxmlformats.org/officeDocument/2006/relationships" r:embed="rId6"/>
        <a:stretch>
          <a:fillRect/>
        </a:stretch>
      </xdr:blipFill>
      <xdr:spPr>
        <a:xfrm>
          <a:off x="1281547" y="1368136"/>
          <a:ext cx="2533333" cy="2704762"/>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5" name="Chart 4">
          <a:extLst>
            <a:ext uri="{FF2B5EF4-FFF2-40B4-BE49-F238E27FC236}">
              <a16:creationId xmlns:a16="http://schemas.microsoft.com/office/drawing/2014/main" id="{E8FFAAA1-1569-4E49-B1F6-7C1798A957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2" name="Picture 1">
          <a:extLst>
            <a:ext uri="{FF2B5EF4-FFF2-40B4-BE49-F238E27FC236}">
              <a16:creationId xmlns:a16="http://schemas.microsoft.com/office/drawing/2014/main" id="{F2BE1CB3-6B6C-4727-A5F2-5906348A42E9}"/>
            </a:ext>
          </a:extLst>
        </xdr:cNvPr>
        <xdr:cNvPicPr>
          <a:picLocks noChangeAspect="1"/>
        </xdr:cNvPicPr>
      </xdr:nvPicPr>
      <xdr:blipFill>
        <a:blip xmlns:r="http://schemas.openxmlformats.org/officeDocument/2006/relationships" r:embed="rId2"/>
        <a:stretch>
          <a:fillRect/>
        </a:stretch>
      </xdr:blipFill>
      <xdr:spPr>
        <a:xfrm>
          <a:off x="11923059" y="1288675"/>
          <a:ext cx="5927912" cy="4812102"/>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A981B09E-80BF-4C70-9762-285561302988}"/>
            </a:ext>
          </a:extLst>
        </xdr:cNvPr>
        <xdr:cNvPicPr>
          <a:picLocks noChangeAspect="1"/>
        </xdr:cNvPicPr>
      </xdr:nvPicPr>
      <xdr:blipFill>
        <a:blip xmlns:r="http://schemas.openxmlformats.org/officeDocument/2006/relationships" r:embed="rId3"/>
        <a:stretch>
          <a:fillRect/>
        </a:stretch>
      </xdr:blipFill>
      <xdr:spPr>
        <a:xfrm>
          <a:off x="11888321" y="6296585"/>
          <a:ext cx="6137461" cy="4901677"/>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3" name="Chart 2">
          <a:extLst>
            <a:ext uri="{FF2B5EF4-FFF2-40B4-BE49-F238E27FC236}">
              <a16:creationId xmlns:a16="http://schemas.microsoft.com/office/drawing/2014/main" id="{0FBFA51E-F9A6-4BE0-B468-09D4317B117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2" name="Chart 1">
          <a:extLst>
            <a:ext uri="{FF2B5EF4-FFF2-40B4-BE49-F238E27FC236}">
              <a16:creationId xmlns:a16="http://schemas.microsoft.com/office/drawing/2014/main" id="{B358450E-EC6C-4879-BC0C-3D576574D9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3" name="Picture 2">
          <a:extLst>
            <a:ext uri="{FF2B5EF4-FFF2-40B4-BE49-F238E27FC236}">
              <a16:creationId xmlns:a16="http://schemas.microsoft.com/office/drawing/2014/main" id="{D1D17227-C8A9-4092-A509-2CEC32270E59}"/>
            </a:ext>
          </a:extLst>
        </xdr:cNvPr>
        <xdr:cNvPicPr>
          <a:picLocks noChangeAspect="1"/>
        </xdr:cNvPicPr>
      </xdr:nvPicPr>
      <xdr:blipFill>
        <a:blip xmlns:r="http://schemas.openxmlformats.org/officeDocument/2006/relationships" r:embed="rId2"/>
        <a:stretch>
          <a:fillRect/>
        </a:stretch>
      </xdr:blipFill>
      <xdr:spPr>
        <a:xfrm>
          <a:off x="11852462" y="1274780"/>
          <a:ext cx="5902138" cy="4809188"/>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2F31C7EB-4BA8-4A91-B651-1CC3D75CD526}"/>
            </a:ext>
          </a:extLst>
        </xdr:cNvPr>
        <xdr:cNvPicPr>
          <a:picLocks noChangeAspect="1"/>
        </xdr:cNvPicPr>
      </xdr:nvPicPr>
      <xdr:blipFill>
        <a:blip xmlns:r="http://schemas.openxmlformats.org/officeDocument/2006/relationships" r:embed="rId3"/>
        <a:stretch>
          <a:fillRect/>
        </a:stretch>
      </xdr:blipFill>
      <xdr:spPr>
        <a:xfrm>
          <a:off x="11865461" y="6287060"/>
          <a:ext cx="6152701" cy="4880722"/>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5" name="Chart 4">
          <a:extLst>
            <a:ext uri="{FF2B5EF4-FFF2-40B4-BE49-F238E27FC236}">
              <a16:creationId xmlns:a16="http://schemas.microsoft.com/office/drawing/2014/main" id="{2D69E8C2-BDC5-4CD2-922D-B0898CE2E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2" name="Chart 1">
          <a:extLst>
            <a:ext uri="{FF2B5EF4-FFF2-40B4-BE49-F238E27FC236}">
              <a16:creationId xmlns:a16="http://schemas.microsoft.com/office/drawing/2014/main" id="{49EA7116-46FB-412E-AA88-083E4FFDEC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3" name="Picture 2">
          <a:extLst>
            <a:ext uri="{FF2B5EF4-FFF2-40B4-BE49-F238E27FC236}">
              <a16:creationId xmlns:a16="http://schemas.microsoft.com/office/drawing/2014/main" id="{6FF3DAE9-D81C-4ED5-8090-CE824EDF385E}"/>
            </a:ext>
          </a:extLst>
        </xdr:cNvPr>
        <xdr:cNvPicPr>
          <a:picLocks noChangeAspect="1"/>
        </xdr:cNvPicPr>
      </xdr:nvPicPr>
      <xdr:blipFill>
        <a:blip xmlns:r="http://schemas.openxmlformats.org/officeDocument/2006/relationships" r:embed="rId2"/>
        <a:stretch>
          <a:fillRect/>
        </a:stretch>
      </xdr:blipFill>
      <xdr:spPr>
        <a:xfrm>
          <a:off x="11852462" y="1274780"/>
          <a:ext cx="5902138" cy="4809188"/>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456C889D-770B-4482-BF4D-8296586440EC}"/>
            </a:ext>
          </a:extLst>
        </xdr:cNvPr>
        <xdr:cNvPicPr>
          <a:picLocks noChangeAspect="1"/>
        </xdr:cNvPicPr>
      </xdr:nvPicPr>
      <xdr:blipFill>
        <a:blip xmlns:r="http://schemas.openxmlformats.org/officeDocument/2006/relationships" r:embed="rId3"/>
        <a:stretch>
          <a:fillRect/>
        </a:stretch>
      </xdr:blipFill>
      <xdr:spPr>
        <a:xfrm>
          <a:off x="11865461" y="6287060"/>
          <a:ext cx="6152701" cy="4880722"/>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5" name="Chart 4">
          <a:extLst>
            <a:ext uri="{FF2B5EF4-FFF2-40B4-BE49-F238E27FC236}">
              <a16:creationId xmlns:a16="http://schemas.microsoft.com/office/drawing/2014/main" id="{7D9A8110-EAA2-47B2-A9E6-200341C264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2" name="Chart 1">
          <a:extLst>
            <a:ext uri="{FF2B5EF4-FFF2-40B4-BE49-F238E27FC236}">
              <a16:creationId xmlns:a16="http://schemas.microsoft.com/office/drawing/2014/main" id="{C3C90D9A-4BDB-4227-92FD-78AA1617B4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3" name="Picture 2">
          <a:extLst>
            <a:ext uri="{FF2B5EF4-FFF2-40B4-BE49-F238E27FC236}">
              <a16:creationId xmlns:a16="http://schemas.microsoft.com/office/drawing/2014/main" id="{447E4FBB-A17E-4BF3-BA77-A24ECC599485}"/>
            </a:ext>
          </a:extLst>
        </xdr:cNvPr>
        <xdr:cNvPicPr>
          <a:picLocks noChangeAspect="1"/>
        </xdr:cNvPicPr>
      </xdr:nvPicPr>
      <xdr:blipFill>
        <a:blip xmlns:r="http://schemas.openxmlformats.org/officeDocument/2006/relationships" r:embed="rId2"/>
        <a:stretch>
          <a:fillRect/>
        </a:stretch>
      </xdr:blipFill>
      <xdr:spPr>
        <a:xfrm>
          <a:off x="11852462" y="1274780"/>
          <a:ext cx="5902138" cy="4809188"/>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554A06F6-C01B-4B36-A330-BAA733877D0B}"/>
            </a:ext>
          </a:extLst>
        </xdr:cNvPr>
        <xdr:cNvPicPr>
          <a:picLocks noChangeAspect="1"/>
        </xdr:cNvPicPr>
      </xdr:nvPicPr>
      <xdr:blipFill>
        <a:blip xmlns:r="http://schemas.openxmlformats.org/officeDocument/2006/relationships" r:embed="rId3"/>
        <a:stretch>
          <a:fillRect/>
        </a:stretch>
      </xdr:blipFill>
      <xdr:spPr>
        <a:xfrm>
          <a:off x="11865461" y="6287060"/>
          <a:ext cx="6152701" cy="4880722"/>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5" name="Chart 4">
          <a:extLst>
            <a:ext uri="{FF2B5EF4-FFF2-40B4-BE49-F238E27FC236}">
              <a16:creationId xmlns:a16="http://schemas.microsoft.com/office/drawing/2014/main" id="{F7142BAA-DF21-484A-B856-6F5793F361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6</xdr:row>
      <xdr:rowOff>166687</xdr:rowOff>
    </xdr:from>
    <xdr:to>
      <xdr:col>14</xdr:col>
      <xdr:colOff>381000</xdr:colOff>
      <xdr:row>21</xdr:row>
      <xdr:rowOff>52387</xdr:rowOff>
    </xdr:to>
    <xdr:graphicFrame macro="">
      <xdr:nvGraphicFramePr>
        <xdr:cNvPr id="2" name="Chart 1">
          <a:extLst>
            <a:ext uri="{FF2B5EF4-FFF2-40B4-BE49-F238E27FC236}">
              <a16:creationId xmlns:a16="http://schemas.microsoft.com/office/drawing/2014/main" id="{179BB901-C478-46B3-9C57-7A2FBF8CAE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324678</xdr:colOff>
      <xdr:row>2</xdr:row>
      <xdr:rowOff>126681</xdr:rowOff>
    </xdr:from>
    <xdr:to>
      <xdr:col>14</xdr:col>
      <xdr:colOff>423738</xdr:colOff>
      <xdr:row>22</xdr:row>
      <xdr:rowOff>22859</xdr:rowOff>
    </xdr:to>
    <xdr:graphicFrame macro="">
      <xdr:nvGraphicFramePr>
        <xdr:cNvPr id="3" name="Chart 2">
          <a:extLst>
            <a:ext uri="{FF2B5EF4-FFF2-40B4-BE49-F238E27FC236}">
              <a16:creationId xmlns:a16="http://schemas.microsoft.com/office/drawing/2014/main" id="{0CD4E74E-AA96-4935-8045-684704800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59635</xdr:colOff>
      <xdr:row>2</xdr:row>
      <xdr:rowOff>139229</xdr:rowOff>
    </xdr:from>
    <xdr:to>
      <xdr:col>25</xdr:col>
      <xdr:colOff>439227</xdr:colOff>
      <xdr:row>21</xdr:row>
      <xdr:rowOff>188346</xdr:rowOff>
    </xdr:to>
    <xdr:graphicFrame macro="">
      <xdr:nvGraphicFramePr>
        <xdr:cNvPr id="4" name="Chart 3">
          <a:extLst>
            <a:ext uri="{FF2B5EF4-FFF2-40B4-BE49-F238E27FC236}">
              <a16:creationId xmlns:a16="http://schemas.microsoft.com/office/drawing/2014/main" id="{3636D256-4319-4A76-BA4F-FBEF1CC0DC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2" name="Chart 1">
          <a:extLst>
            <a:ext uri="{FF2B5EF4-FFF2-40B4-BE49-F238E27FC236}">
              <a16:creationId xmlns:a16="http://schemas.microsoft.com/office/drawing/2014/main" id="{E63E21E5-C778-47DF-8B0D-D39F8FF60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3" name="Picture 2">
          <a:extLst>
            <a:ext uri="{FF2B5EF4-FFF2-40B4-BE49-F238E27FC236}">
              <a16:creationId xmlns:a16="http://schemas.microsoft.com/office/drawing/2014/main" id="{350A8C6F-438F-4900-9F3C-A22FDB737C94}"/>
            </a:ext>
          </a:extLst>
        </xdr:cNvPr>
        <xdr:cNvPicPr>
          <a:picLocks noChangeAspect="1"/>
        </xdr:cNvPicPr>
      </xdr:nvPicPr>
      <xdr:blipFill>
        <a:blip xmlns:r="http://schemas.openxmlformats.org/officeDocument/2006/relationships" r:embed="rId2"/>
        <a:stretch>
          <a:fillRect/>
        </a:stretch>
      </xdr:blipFill>
      <xdr:spPr>
        <a:xfrm>
          <a:off x="11871512" y="1278590"/>
          <a:ext cx="5902138" cy="4811093"/>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7C1D19DA-C670-4A1D-90A7-336B1230C2B3}"/>
            </a:ext>
          </a:extLst>
        </xdr:cNvPr>
        <xdr:cNvPicPr>
          <a:picLocks noChangeAspect="1"/>
        </xdr:cNvPicPr>
      </xdr:nvPicPr>
      <xdr:blipFill>
        <a:blip xmlns:r="http://schemas.openxmlformats.org/officeDocument/2006/relationships" r:embed="rId3"/>
        <a:stretch>
          <a:fillRect/>
        </a:stretch>
      </xdr:blipFill>
      <xdr:spPr>
        <a:xfrm>
          <a:off x="11888321" y="6296585"/>
          <a:ext cx="6148891" cy="4899772"/>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5" name="Chart 4">
          <a:extLst>
            <a:ext uri="{FF2B5EF4-FFF2-40B4-BE49-F238E27FC236}">
              <a16:creationId xmlns:a16="http://schemas.microsoft.com/office/drawing/2014/main" id="{BE003852-26A8-4586-B437-D1A64EA12B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2" name="Chart 1">
          <a:extLst>
            <a:ext uri="{FF2B5EF4-FFF2-40B4-BE49-F238E27FC236}">
              <a16:creationId xmlns:a16="http://schemas.microsoft.com/office/drawing/2014/main" id="{09B06A24-CEE0-4EB6-BD89-F63902CC99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3" name="Picture 2">
          <a:extLst>
            <a:ext uri="{FF2B5EF4-FFF2-40B4-BE49-F238E27FC236}">
              <a16:creationId xmlns:a16="http://schemas.microsoft.com/office/drawing/2014/main" id="{2AA3E569-73DC-4FD9-A22F-0A69595457E8}"/>
            </a:ext>
          </a:extLst>
        </xdr:cNvPr>
        <xdr:cNvPicPr>
          <a:picLocks noChangeAspect="1"/>
        </xdr:cNvPicPr>
      </xdr:nvPicPr>
      <xdr:blipFill>
        <a:blip xmlns:r="http://schemas.openxmlformats.org/officeDocument/2006/relationships" r:embed="rId2"/>
        <a:stretch>
          <a:fillRect/>
        </a:stretch>
      </xdr:blipFill>
      <xdr:spPr>
        <a:xfrm>
          <a:off x="11871512" y="1278590"/>
          <a:ext cx="5902138" cy="4811093"/>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BC4E428D-957C-43CD-A95E-02DC3496744B}"/>
            </a:ext>
          </a:extLst>
        </xdr:cNvPr>
        <xdr:cNvPicPr>
          <a:picLocks noChangeAspect="1"/>
        </xdr:cNvPicPr>
      </xdr:nvPicPr>
      <xdr:blipFill>
        <a:blip xmlns:r="http://schemas.openxmlformats.org/officeDocument/2006/relationships" r:embed="rId3"/>
        <a:stretch>
          <a:fillRect/>
        </a:stretch>
      </xdr:blipFill>
      <xdr:spPr>
        <a:xfrm>
          <a:off x="11888321" y="6296585"/>
          <a:ext cx="6148891" cy="4899772"/>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5" name="Chart 4">
          <a:extLst>
            <a:ext uri="{FF2B5EF4-FFF2-40B4-BE49-F238E27FC236}">
              <a16:creationId xmlns:a16="http://schemas.microsoft.com/office/drawing/2014/main" id="{BA485CE0-C539-447F-9DEF-83E5F2349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26715</xdr:colOff>
      <xdr:row>66</xdr:row>
      <xdr:rowOff>78337</xdr:rowOff>
    </xdr:from>
    <xdr:to>
      <xdr:col>13</xdr:col>
      <xdr:colOff>515089</xdr:colOff>
      <xdr:row>99</xdr:row>
      <xdr:rowOff>185533</xdr:rowOff>
    </xdr:to>
    <xdr:graphicFrame macro="">
      <xdr:nvGraphicFramePr>
        <xdr:cNvPr id="2" name="Chart 1">
          <a:extLst>
            <a:ext uri="{FF2B5EF4-FFF2-40B4-BE49-F238E27FC236}">
              <a16:creationId xmlns:a16="http://schemas.microsoft.com/office/drawing/2014/main" id="{1F765F97-6F23-49AA-A643-DD8674DD81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403412</xdr:colOff>
      <xdr:row>6</xdr:row>
      <xdr:rowOff>78440</xdr:rowOff>
    </xdr:from>
    <xdr:to>
      <xdr:col>22</xdr:col>
      <xdr:colOff>190500</xdr:colOff>
      <xdr:row>29</xdr:row>
      <xdr:rowOff>79408</xdr:rowOff>
    </xdr:to>
    <xdr:pic>
      <xdr:nvPicPr>
        <xdr:cNvPr id="3" name="Picture 2">
          <a:extLst>
            <a:ext uri="{FF2B5EF4-FFF2-40B4-BE49-F238E27FC236}">
              <a16:creationId xmlns:a16="http://schemas.microsoft.com/office/drawing/2014/main" id="{20AFA882-0AB7-445F-A28F-36979192E9E5}"/>
            </a:ext>
          </a:extLst>
        </xdr:cNvPr>
        <xdr:cNvPicPr>
          <a:picLocks noChangeAspect="1"/>
        </xdr:cNvPicPr>
      </xdr:nvPicPr>
      <xdr:blipFill>
        <a:blip xmlns:r="http://schemas.openxmlformats.org/officeDocument/2006/relationships" r:embed="rId2"/>
        <a:stretch>
          <a:fillRect/>
        </a:stretch>
      </xdr:blipFill>
      <xdr:spPr>
        <a:xfrm>
          <a:off x="11871512" y="1278590"/>
          <a:ext cx="5902138" cy="4811093"/>
        </a:xfrm>
        <a:prstGeom prst="rect">
          <a:avLst/>
        </a:prstGeom>
        <a:ln>
          <a:solidFill>
            <a:sysClr val="windowText" lastClr="000000"/>
          </a:solidFill>
        </a:ln>
      </xdr:spPr>
    </xdr:pic>
    <xdr:clientData/>
  </xdr:twoCellAnchor>
  <xdr:twoCellAnchor editAs="oneCell">
    <xdr:from>
      <xdr:col>14</xdr:col>
      <xdr:colOff>420221</xdr:colOff>
      <xdr:row>30</xdr:row>
      <xdr:rowOff>86285</xdr:rowOff>
    </xdr:from>
    <xdr:to>
      <xdr:col>22</xdr:col>
      <xdr:colOff>454062</xdr:colOff>
      <xdr:row>54</xdr:row>
      <xdr:rowOff>156882</xdr:rowOff>
    </xdr:to>
    <xdr:pic>
      <xdr:nvPicPr>
        <xdr:cNvPr id="4" name="Picture 3">
          <a:extLst>
            <a:ext uri="{FF2B5EF4-FFF2-40B4-BE49-F238E27FC236}">
              <a16:creationId xmlns:a16="http://schemas.microsoft.com/office/drawing/2014/main" id="{2B4538FE-0F92-4E4E-B19F-918F34FC2BCB}"/>
            </a:ext>
          </a:extLst>
        </xdr:cNvPr>
        <xdr:cNvPicPr>
          <a:picLocks noChangeAspect="1"/>
        </xdr:cNvPicPr>
      </xdr:nvPicPr>
      <xdr:blipFill>
        <a:blip xmlns:r="http://schemas.openxmlformats.org/officeDocument/2006/relationships" r:embed="rId3"/>
        <a:stretch>
          <a:fillRect/>
        </a:stretch>
      </xdr:blipFill>
      <xdr:spPr>
        <a:xfrm>
          <a:off x="11888321" y="6296585"/>
          <a:ext cx="6148891" cy="4899772"/>
        </a:xfrm>
        <a:prstGeom prst="rect">
          <a:avLst/>
        </a:prstGeom>
        <a:ln>
          <a:solidFill>
            <a:sysClr val="windowText" lastClr="000000"/>
          </a:solidFill>
        </a:ln>
      </xdr:spPr>
    </xdr:pic>
    <xdr:clientData/>
  </xdr:twoCellAnchor>
  <xdr:twoCellAnchor>
    <xdr:from>
      <xdr:col>14</xdr:col>
      <xdr:colOff>476249</xdr:colOff>
      <xdr:row>66</xdr:row>
      <xdr:rowOff>117763</xdr:rowOff>
    </xdr:from>
    <xdr:to>
      <xdr:col>28</xdr:col>
      <xdr:colOff>17318</xdr:colOff>
      <xdr:row>99</xdr:row>
      <xdr:rowOff>138544</xdr:rowOff>
    </xdr:to>
    <xdr:graphicFrame macro="">
      <xdr:nvGraphicFramePr>
        <xdr:cNvPr id="5" name="Chart 4">
          <a:extLst>
            <a:ext uri="{FF2B5EF4-FFF2-40B4-BE49-F238E27FC236}">
              <a16:creationId xmlns:a16="http://schemas.microsoft.com/office/drawing/2014/main" id="{657F3EF1-9B76-4433-96C6-0C2D64CD7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76200</xdr:colOff>
      <xdr:row>6</xdr:row>
      <xdr:rowOff>166687</xdr:rowOff>
    </xdr:from>
    <xdr:to>
      <xdr:col>14</xdr:col>
      <xdr:colOff>381000</xdr:colOff>
      <xdr:row>21</xdr:row>
      <xdr:rowOff>52387</xdr:rowOff>
    </xdr:to>
    <xdr:graphicFrame macro="">
      <xdr:nvGraphicFramePr>
        <xdr:cNvPr id="2" name="Chart 1">
          <a:extLst>
            <a:ext uri="{FF2B5EF4-FFF2-40B4-BE49-F238E27FC236}">
              <a16:creationId xmlns:a16="http://schemas.microsoft.com/office/drawing/2014/main" id="{8C95A4C5-2AEE-4280-BCD5-3E5EC7175E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324678</xdr:colOff>
      <xdr:row>2</xdr:row>
      <xdr:rowOff>126681</xdr:rowOff>
    </xdr:from>
    <xdr:to>
      <xdr:col>14</xdr:col>
      <xdr:colOff>423738</xdr:colOff>
      <xdr:row>22</xdr:row>
      <xdr:rowOff>22859</xdr:rowOff>
    </xdr:to>
    <xdr:graphicFrame macro="">
      <xdr:nvGraphicFramePr>
        <xdr:cNvPr id="3" name="Chart 2">
          <a:extLst>
            <a:ext uri="{FF2B5EF4-FFF2-40B4-BE49-F238E27FC236}">
              <a16:creationId xmlns:a16="http://schemas.microsoft.com/office/drawing/2014/main" id="{5B5EB21B-74BD-451A-B632-DBD889FBB8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59635</xdr:colOff>
      <xdr:row>2</xdr:row>
      <xdr:rowOff>139229</xdr:rowOff>
    </xdr:from>
    <xdr:to>
      <xdr:col>25</xdr:col>
      <xdr:colOff>439227</xdr:colOff>
      <xdr:row>21</xdr:row>
      <xdr:rowOff>188346</xdr:rowOff>
    </xdr:to>
    <xdr:graphicFrame macro="">
      <xdr:nvGraphicFramePr>
        <xdr:cNvPr id="4" name="Chart 3">
          <a:extLst>
            <a:ext uri="{FF2B5EF4-FFF2-40B4-BE49-F238E27FC236}">
              <a16:creationId xmlns:a16="http://schemas.microsoft.com/office/drawing/2014/main" id="{169A919D-9F0F-4A28-90DB-D74CEF9A9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CB0E3-8DEC-4583-AF72-3232BE58CB55}">
  <sheetPr codeName="Sheet1"/>
  <dimension ref="B1:P33"/>
  <sheetViews>
    <sheetView workbookViewId="0">
      <selection activeCell="D26" sqref="D26"/>
    </sheetView>
  </sheetViews>
  <sheetFormatPr defaultRowHeight="15" x14ac:dyDescent="0.25"/>
  <cols>
    <col min="1" max="16384" width="9.140625" style="4"/>
  </cols>
  <sheetData>
    <row r="1" spans="3:16" x14ac:dyDescent="0.25">
      <c r="C1" s="4">
        <v>1</v>
      </c>
      <c r="D1" s="4">
        <v>2</v>
      </c>
      <c r="E1" s="4">
        <v>3</v>
      </c>
      <c r="F1" s="4">
        <v>4</v>
      </c>
      <c r="G1" s="4">
        <v>5</v>
      </c>
      <c r="H1" s="4">
        <v>6</v>
      </c>
      <c r="I1" s="4">
        <v>7</v>
      </c>
      <c r="J1" s="4">
        <v>8</v>
      </c>
      <c r="K1" s="4">
        <v>9</v>
      </c>
      <c r="L1" s="4">
        <v>10</v>
      </c>
      <c r="M1" s="4">
        <v>11</v>
      </c>
      <c r="N1" s="4">
        <v>12</v>
      </c>
      <c r="O1" s="4">
        <v>13</v>
      </c>
      <c r="P1" s="4">
        <v>14</v>
      </c>
    </row>
    <row r="2" spans="3:16" x14ac:dyDescent="0.25">
      <c r="C2" s="104" t="s">
        <v>38</v>
      </c>
      <c r="D2" s="105"/>
      <c r="E2" s="105"/>
      <c r="F2" s="105"/>
      <c r="G2" s="105"/>
      <c r="H2" s="105"/>
      <c r="I2" s="105"/>
      <c r="J2" s="105"/>
      <c r="K2" s="105"/>
      <c r="L2" s="105"/>
      <c r="M2" s="105"/>
      <c r="N2" s="105"/>
      <c r="O2" s="105"/>
      <c r="P2" s="105"/>
    </row>
    <row r="3" spans="3:16" x14ac:dyDescent="0.25">
      <c r="C3" s="102" t="s">
        <v>39</v>
      </c>
      <c r="D3" s="102" t="s">
        <v>40</v>
      </c>
      <c r="E3" s="2" t="s">
        <v>4</v>
      </c>
      <c r="F3" s="2" t="s">
        <v>5</v>
      </c>
      <c r="G3" s="2" t="s">
        <v>6</v>
      </c>
      <c r="H3" s="2" t="s">
        <v>60</v>
      </c>
      <c r="I3" s="2" t="s">
        <v>7</v>
      </c>
      <c r="J3" s="2" t="s">
        <v>8</v>
      </c>
      <c r="K3" s="2" t="s">
        <v>9</v>
      </c>
      <c r="L3" s="2" t="s">
        <v>10</v>
      </c>
      <c r="M3" s="1" t="s">
        <v>11</v>
      </c>
      <c r="N3" s="2" t="s">
        <v>12</v>
      </c>
      <c r="O3" s="2" t="s">
        <v>13</v>
      </c>
      <c r="P3" s="2" t="s">
        <v>50</v>
      </c>
    </row>
    <row r="4" spans="3:16" x14ac:dyDescent="0.25">
      <c r="C4" s="103"/>
      <c r="D4" s="103"/>
      <c r="E4" s="2" t="s">
        <v>15</v>
      </c>
      <c r="F4" s="2" t="s">
        <v>15</v>
      </c>
      <c r="G4" s="2" t="s">
        <v>16</v>
      </c>
      <c r="H4" s="2" t="s">
        <v>16</v>
      </c>
      <c r="I4" s="2" t="s">
        <v>17</v>
      </c>
      <c r="J4" s="2" t="s">
        <v>17</v>
      </c>
      <c r="K4" s="2" t="s">
        <v>17</v>
      </c>
      <c r="L4" s="2" t="s">
        <v>17</v>
      </c>
      <c r="M4" s="2" t="s">
        <v>14</v>
      </c>
      <c r="N4" s="2" t="s">
        <v>17</v>
      </c>
      <c r="O4" s="2" t="s">
        <v>17</v>
      </c>
      <c r="P4" s="2" t="s">
        <v>17</v>
      </c>
    </row>
    <row r="5" spans="3:16" x14ac:dyDescent="0.25">
      <c r="C5" s="2" t="s">
        <v>18</v>
      </c>
      <c r="D5" s="2">
        <v>15</v>
      </c>
      <c r="E5" s="2">
        <v>12</v>
      </c>
      <c r="F5" s="2">
        <f>E5+8</f>
        <v>20</v>
      </c>
      <c r="G5" s="2">
        <v>27</v>
      </c>
      <c r="H5" s="3">
        <f>11000*E5^0.3/1000</f>
        <v>23.181794892789181</v>
      </c>
      <c r="I5" s="3">
        <v>1.8</v>
      </c>
      <c r="J5" s="3">
        <v>3.5</v>
      </c>
      <c r="K5" s="3">
        <v>2</v>
      </c>
      <c r="L5" s="3">
        <v>3.5</v>
      </c>
      <c r="M5" s="3">
        <v>2</v>
      </c>
      <c r="N5" s="3">
        <v>1.75</v>
      </c>
      <c r="O5" s="3">
        <v>3.5</v>
      </c>
      <c r="P5" s="6">
        <f>1.8*E5/G5</f>
        <v>0.8</v>
      </c>
    </row>
    <row r="6" spans="3:16" x14ac:dyDescent="0.25">
      <c r="C6" s="2" t="s">
        <v>19</v>
      </c>
      <c r="D6" s="2">
        <v>20</v>
      </c>
      <c r="E6" s="2">
        <v>16</v>
      </c>
      <c r="F6" s="2">
        <f t="shared" ref="F6:F13" si="0">E6+8</f>
        <v>24</v>
      </c>
      <c r="G6" s="2">
        <v>29</v>
      </c>
      <c r="H6" s="3">
        <f t="shared" ref="H6:H13" si="1">11000*E6^0.3/1000</f>
        <v>25.271363809934773</v>
      </c>
      <c r="I6" s="3">
        <v>1.9</v>
      </c>
      <c r="J6" s="3">
        <v>3.5</v>
      </c>
      <c r="K6" s="3">
        <v>2</v>
      </c>
      <c r="L6" s="3">
        <v>3.5</v>
      </c>
      <c r="M6" s="3">
        <v>2</v>
      </c>
      <c r="N6" s="3">
        <v>1.75</v>
      </c>
      <c r="O6" s="3">
        <v>3.5</v>
      </c>
      <c r="P6" s="6">
        <f t="shared" ref="P6:P13" si="2">1.8*E6/G6</f>
        <v>0.99310344827586206</v>
      </c>
    </row>
    <row r="7" spans="3:16" x14ac:dyDescent="0.25">
      <c r="C7" s="2" t="s">
        <v>20</v>
      </c>
      <c r="D7" s="2">
        <v>25</v>
      </c>
      <c r="E7" s="2">
        <v>20</v>
      </c>
      <c r="F7" s="2">
        <f t="shared" si="0"/>
        <v>28</v>
      </c>
      <c r="G7" s="2">
        <v>30</v>
      </c>
      <c r="H7" s="3">
        <f t="shared" si="1"/>
        <v>27.021016574547385</v>
      </c>
      <c r="I7" s="3">
        <v>2</v>
      </c>
      <c r="J7" s="3">
        <v>3.5</v>
      </c>
      <c r="K7" s="3">
        <v>2</v>
      </c>
      <c r="L7" s="3">
        <v>3.5</v>
      </c>
      <c r="M7" s="3">
        <v>2</v>
      </c>
      <c r="N7" s="3">
        <v>1.75</v>
      </c>
      <c r="O7" s="3">
        <v>3.5</v>
      </c>
      <c r="P7" s="6">
        <f t="shared" si="2"/>
        <v>1.2</v>
      </c>
    </row>
    <row r="8" spans="3:16" x14ac:dyDescent="0.25">
      <c r="C8" s="2" t="s">
        <v>21</v>
      </c>
      <c r="D8" s="2">
        <v>30</v>
      </c>
      <c r="E8" s="2">
        <v>25</v>
      </c>
      <c r="F8" s="2">
        <f t="shared" si="0"/>
        <v>33</v>
      </c>
      <c r="G8" s="2">
        <v>31</v>
      </c>
      <c r="H8" s="3">
        <f t="shared" si="1"/>
        <v>28.891805848441436</v>
      </c>
      <c r="I8" s="3">
        <v>2.1</v>
      </c>
      <c r="J8" s="3">
        <v>3.5</v>
      </c>
      <c r="K8" s="3">
        <v>2</v>
      </c>
      <c r="L8" s="3">
        <v>3.5</v>
      </c>
      <c r="M8" s="3">
        <v>2</v>
      </c>
      <c r="N8" s="3">
        <v>1.75</v>
      </c>
      <c r="O8" s="3">
        <v>3.5</v>
      </c>
      <c r="P8" s="6">
        <f t="shared" si="2"/>
        <v>1.4516129032258065</v>
      </c>
    </row>
    <row r="9" spans="3:16" x14ac:dyDescent="0.25">
      <c r="C9" s="2" t="s">
        <v>22</v>
      </c>
      <c r="D9" s="2" t="s">
        <v>37</v>
      </c>
      <c r="E9" s="2">
        <v>30</v>
      </c>
      <c r="F9" s="2">
        <f t="shared" si="0"/>
        <v>38</v>
      </c>
      <c r="G9" s="2">
        <v>33</v>
      </c>
      <c r="H9" s="3">
        <f t="shared" si="1"/>
        <v>30.516102261393993</v>
      </c>
      <c r="I9" s="3">
        <v>2.2000000000000002</v>
      </c>
      <c r="J9" s="3">
        <v>3.5</v>
      </c>
      <c r="K9" s="3">
        <v>2</v>
      </c>
      <c r="L9" s="3">
        <v>3.5</v>
      </c>
      <c r="M9" s="3">
        <v>2</v>
      </c>
      <c r="N9" s="3">
        <v>1.75</v>
      </c>
      <c r="O9" s="3">
        <v>3.5</v>
      </c>
      <c r="P9" s="6">
        <f t="shared" si="2"/>
        <v>1.6363636363636365</v>
      </c>
    </row>
    <row r="10" spans="3:16" x14ac:dyDescent="0.25">
      <c r="C10" s="2" t="s">
        <v>23</v>
      </c>
      <c r="D10" s="2">
        <v>45</v>
      </c>
      <c r="E10" s="2">
        <v>35</v>
      </c>
      <c r="F10" s="2">
        <f t="shared" si="0"/>
        <v>43</v>
      </c>
      <c r="G10" s="2">
        <v>34</v>
      </c>
      <c r="H10" s="3">
        <f t="shared" si="1"/>
        <v>31.960465671686464</v>
      </c>
      <c r="I10" s="3">
        <v>2.25</v>
      </c>
      <c r="J10" s="3">
        <v>3.5</v>
      </c>
      <c r="K10" s="3">
        <v>2</v>
      </c>
      <c r="L10" s="3">
        <v>3.5</v>
      </c>
      <c r="M10" s="3">
        <v>2</v>
      </c>
      <c r="N10" s="3">
        <v>1.75</v>
      </c>
      <c r="O10" s="3">
        <v>3.5</v>
      </c>
      <c r="P10" s="6">
        <f t="shared" si="2"/>
        <v>1.8529411764705883</v>
      </c>
    </row>
    <row r="11" spans="3:16" x14ac:dyDescent="0.25">
      <c r="C11" s="2" t="s">
        <v>24</v>
      </c>
      <c r="D11" s="2">
        <v>50</v>
      </c>
      <c r="E11" s="2">
        <v>40</v>
      </c>
      <c r="F11" s="2">
        <f t="shared" si="0"/>
        <v>48</v>
      </c>
      <c r="G11" s="2">
        <v>35</v>
      </c>
      <c r="H11" s="3">
        <f t="shared" si="1"/>
        <v>33.266773598654396</v>
      </c>
      <c r="I11" s="3">
        <v>2.2999999999999998</v>
      </c>
      <c r="J11" s="3">
        <v>3.5</v>
      </c>
      <c r="K11" s="3">
        <v>2</v>
      </c>
      <c r="L11" s="3">
        <v>3.5</v>
      </c>
      <c r="M11" s="3">
        <v>2</v>
      </c>
      <c r="N11" s="3">
        <v>1.75</v>
      </c>
      <c r="O11" s="3">
        <v>3.5</v>
      </c>
      <c r="P11" s="6">
        <f t="shared" si="2"/>
        <v>2.0571428571428569</v>
      </c>
    </row>
    <row r="12" spans="3:16" x14ac:dyDescent="0.25">
      <c r="C12" s="2" t="s">
        <v>25</v>
      </c>
      <c r="D12" s="2">
        <v>55</v>
      </c>
      <c r="E12" s="2">
        <v>45</v>
      </c>
      <c r="F12" s="2">
        <f t="shared" si="0"/>
        <v>53</v>
      </c>
      <c r="G12" s="2">
        <v>36</v>
      </c>
      <c r="H12" s="3">
        <f t="shared" si="1"/>
        <v>34.463266570993319</v>
      </c>
      <c r="I12" s="3">
        <v>2.4</v>
      </c>
      <c r="J12" s="3">
        <v>3.5</v>
      </c>
      <c r="K12" s="3">
        <v>2</v>
      </c>
      <c r="L12" s="3">
        <v>3.5</v>
      </c>
      <c r="M12" s="3">
        <v>2</v>
      </c>
      <c r="N12" s="3">
        <v>1.75</v>
      </c>
      <c r="O12" s="3">
        <v>3.5</v>
      </c>
      <c r="P12" s="6">
        <f t="shared" si="2"/>
        <v>2.25</v>
      </c>
    </row>
    <row r="13" spans="3:16" x14ac:dyDescent="0.25">
      <c r="C13" s="2" t="s">
        <v>26</v>
      </c>
      <c r="D13" s="2">
        <v>60</v>
      </c>
      <c r="E13" s="2">
        <v>50</v>
      </c>
      <c r="F13" s="2">
        <f t="shared" si="0"/>
        <v>58</v>
      </c>
      <c r="G13" s="2">
        <v>37</v>
      </c>
      <c r="H13" s="3">
        <f t="shared" si="1"/>
        <v>35.569985361754661</v>
      </c>
      <c r="I13" s="3">
        <v>2.4500000000000002</v>
      </c>
      <c r="J13" s="3">
        <v>3.5</v>
      </c>
      <c r="K13" s="3">
        <v>2</v>
      </c>
      <c r="L13" s="3">
        <v>3.5</v>
      </c>
      <c r="M13" s="3">
        <v>2</v>
      </c>
      <c r="N13" s="3">
        <v>1.75</v>
      </c>
      <c r="O13" s="3">
        <v>3.5</v>
      </c>
      <c r="P13" s="6">
        <f t="shared" si="2"/>
        <v>2.4324324324324325</v>
      </c>
    </row>
    <row r="15" spans="3:16" x14ac:dyDescent="0.25">
      <c r="C15" s="106" t="s">
        <v>41</v>
      </c>
      <c r="D15" s="106"/>
      <c r="E15" s="106"/>
      <c r="F15" s="106"/>
      <c r="G15" s="106"/>
      <c r="H15" s="106"/>
      <c r="I15" s="106"/>
      <c r="J15" s="106"/>
    </row>
    <row r="16" spans="3:16" x14ac:dyDescent="0.25">
      <c r="C16" s="101" t="s">
        <v>39</v>
      </c>
      <c r="D16" s="5" t="s">
        <v>44</v>
      </c>
      <c r="E16" s="5" t="s">
        <v>45</v>
      </c>
      <c r="F16" s="5" t="s">
        <v>0</v>
      </c>
      <c r="G16" s="2" t="s">
        <v>27</v>
      </c>
      <c r="H16" s="2" t="s">
        <v>42</v>
      </c>
      <c r="I16" s="2" t="s">
        <v>43</v>
      </c>
      <c r="J16" s="2" t="s">
        <v>43</v>
      </c>
    </row>
    <row r="17" spans="2:10" x14ac:dyDescent="0.25">
      <c r="C17" s="101"/>
      <c r="D17" s="2" t="s">
        <v>15</v>
      </c>
      <c r="E17" s="2" t="s">
        <v>15</v>
      </c>
      <c r="F17" s="2" t="s">
        <v>14</v>
      </c>
      <c r="G17" s="2" t="s">
        <v>16</v>
      </c>
      <c r="H17" s="2" t="s">
        <v>17</v>
      </c>
      <c r="I17" s="2" t="s">
        <v>17</v>
      </c>
      <c r="J17" s="2" t="s">
        <v>17</v>
      </c>
    </row>
    <row r="18" spans="2:10" x14ac:dyDescent="0.25">
      <c r="C18" s="1" t="s">
        <v>28</v>
      </c>
      <c r="D18" s="5">
        <v>500</v>
      </c>
      <c r="E18" s="5">
        <f>D18*F18</f>
        <v>525</v>
      </c>
      <c r="F18" s="5">
        <v>1.05</v>
      </c>
      <c r="G18" s="5">
        <v>200</v>
      </c>
      <c r="H18" s="5">
        <f>D18/G18</f>
        <v>2.5</v>
      </c>
      <c r="I18" s="5">
        <v>25</v>
      </c>
      <c r="J18" s="24">
        <f>0.9*I18</f>
        <v>22.5</v>
      </c>
    </row>
    <row r="19" spans="2:10" x14ac:dyDescent="0.25">
      <c r="C19" s="1" t="s">
        <v>29</v>
      </c>
      <c r="D19" s="5">
        <v>500</v>
      </c>
      <c r="E19" s="5">
        <f>D19*F19</f>
        <v>540</v>
      </c>
      <c r="F19" s="5">
        <v>1.08</v>
      </c>
      <c r="G19" s="5">
        <v>200</v>
      </c>
      <c r="H19" s="5">
        <f>D19/G19</f>
        <v>2.5</v>
      </c>
      <c r="I19" s="5">
        <v>50</v>
      </c>
      <c r="J19" s="24">
        <f t="shared" ref="J19:J20" si="3">0.9*I19</f>
        <v>45</v>
      </c>
    </row>
    <row r="20" spans="2:10" x14ac:dyDescent="0.25">
      <c r="C20" s="1" t="s">
        <v>30</v>
      </c>
      <c r="D20" s="5">
        <v>500</v>
      </c>
      <c r="E20" s="5">
        <f>D20*F20</f>
        <v>575</v>
      </c>
      <c r="F20" s="5">
        <v>1.1499999999999999</v>
      </c>
      <c r="G20" s="5">
        <v>200</v>
      </c>
      <c r="H20" s="5">
        <f>D20/G20</f>
        <v>2.5</v>
      </c>
      <c r="I20" s="5">
        <v>75</v>
      </c>
      <c r="J20" s="24">
        <f t="shared" si="3"/>
        <v>67.5</v>
      </c>
    </row>
    <row r="21" spans="2:10" x14ac:dyDescent="0.25">
      <c r="B21" s="29"/>
      <c r="C21" s="29"/>
      <c r="D21" s="29"/>
    </row>
    <row r="22" spans="2:10" x14ac:dyDescent="0.25">
      <c r="B22" s="29"/>
      <c r="C22" s="29" t="s">
        <v>100</v>
      </c>
      <c r="D22" s="29" t="s">
        <v>115</v>
      </c>
      <c r="E22" s="4" t="s">
        <v>116</v>
      </c>
      <c r="F22" s="4" t="s">
        <v>101</v>
      </c>
      <c r="G22" s="4" t="s">
        <v>106</v>
      </c>
    </row>
    <row r="23" spans="2:10" x14ac:dyDescent="0.25">
      <c r="B23" s="29"/>
      <c r="C23" s="29">
        <v>6</v>
      </c>
      <c r="D23" s="29">
        <v>50</v>
      </c>
      <c r="E23" s="4">
        <v>50</v>
      </c>
      <c r="F23" s="4" t="s">
        <v>97</v>
      </c>
      <c r="G23" s="4" t="s">
        <v>107</v>
      </c>
    </row>
    <row r="24" spans="2:10" x14ac:dyDescent="0.25">
      <c r="B24" s="29"/>
      <c r="C24" s="29">
        <v>8</v>
      </c>
      <c r="D24" s="29">
        <v>100</v>
      </c>
      <c r="E24" s="4">
        <v>75</v>
      </c>
      <c r="F24" s="4" t="s">
        <v>98</v>
      </c>
      <c r="G24" s="4" t="s">
        <v>108</v>
      </c>
    </row>
    <row r="25" spans="2:10" x14ac:dyDescent="0.25">
      <c r="B25" s="29"/>
      <c r="C25" s="29">
        <v>10</v>
      </c>
      <c r="D25" s="29">
        <v>150</v>
      </c>
      <c r="E25" s="4">
        <v>100</v>
      </c>
    </row>
    <row r="26" spans="2:10" x14ac:dyDescent="0.25">
      <c r="B26" s="29"/>
      <c r="C26" s="29">
        <v>12</v>
      </c>
      <c r="D26" s="29">
        <v>200</v>
      </c>
      <c r="E26" s="4">
        <v>125</v>
      </c>
    </row>
    <row r="27" spans="2:10" x14ac:dyDescent="0.25">
      <c r="C27" s="4">
        <v>14</v>
      </c>
      <c r="E27" s="4">
        <v>150</v>
      </c>
    </row>
    <row r="28" spans="2:10" x14ac:dyDescent="0.25">
      <c r="C28" s="4">
        <v>16</v>
      </c>
      <c r="E28" s="4">
        <v>175</v>
      </c>
    </row>
    <row r="29" spans="2:10" x14ac:dyDescent="0.25">
      <c r="C29" s="4">
        <v>18</v>
      </c>
      <c r="E29" s="4">
        <v>200</v>
      </c>
    </row>
    <row r="30" spans="2:10" x14ac:dyDescent="0.25">
      <c r="C30" s="4">
        <v>20</v>
      </c>
    </row>
    <row r="31" spans="2:10" x14ac:dyDescent="0.25">
      <c r="C31" s="4">
        <v>22</v>
      </c>
    </row>
    <row r="32" spans="2:10" x14ac:dyDescent="0.25">
      <c r="C32" s="4">
        <v>25</v>
      </c>
    </row>
    <row r="33" spans="3:3" x14ac:dyDescent="0.25">
      <c r="C33" s="4">
        <v>32</v>
      </c>
    </row>
  </sheetData>
  <mergeCells count="5">
    <mergeCell ref="C16:C17"/>
    <mergeCell ref="C3:C4"/>
    <mergeCell ref="D3:D4"/>
    <mergeCell ref="C2:P2"/>
    <mergeCell ref="C15:J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40FA1-032D-4227-8268-5C817BE8644C}">
  <sheetPr>
    <tabColor rgb="FFFF0000"/>
  </sheetPr>
  <dimension ref="B4:W45"/>
  <sheetViews>
    <sheetView topLeftCell="A7" zoomScale="90" zoomScaleNormal="90" workbookViewId="0">
      <selection activeCell="AB31" sqref="AB31"/>
    </sheetView>
  </sheetViews>
  <sheetFormatPr defaultRowHeight="15" x14ac:dyDescent="0.25"/>
  <sheetData>
    <row r="4" spans="2:23" ht="21" x14ac:dyDescent="0.35">
      <c r="B4" s="32">
        <v>1</v>
      </c>
      <c r="C4" s="32" t="s">
        <v>114</v>
      </c>
      <c r="D4" s="31"/>
      <c r="E4" s="31"/>
      <c r="F4" s="31"/>
      <c r="G4" s="31"/>
      <c r="H4" s="31"/>
      <c r="I4" s="31"/>
      <c r="J4" s="31"/>
      <c r="K4" s="31"/>
      <c r="L4" s="31"/>
      <c r="M4" s="31"/>
      <c r="N4" s="31"/>
      <c r="O4" s="31"/>
      <c r="P4" s="31"/>
      <c r="Q4" s="31"/>
      <c r="R4" s="31"/>
      <c r="S4" s="31"/>
      <c r="T4" s="31"/>
      <c r="U4" s="31"/>
      <c r="V4" s="31"/>
      <c r="W4" s="31"/>
    </row>
    <row r="5" spans="2:23" ht="21" x14ac:dyDescent="0.35">
      <c r="B5" s="32"/>
      <c r="C5" s="31" t="s">
        <v>124</v>
      </c>
      <c r="D5" s="31"/>
      <c r="E5" s="31"/>
      <c r="F5" s="31"/>
      <c r="G5" s="31"/>
      <c r="H5" s="31"/>
      <c r="I5" s="31"/>
      <c r="J5" s="31"/>
      <c r="K5" s="31" t="s">
        <v>125</v>
      </c>
      <c r="L5" s="31"/>
      <c r="M5" s="31"/>
      <c r="N5" s="31"/>
      <c r="O5" s="31"/>
      <c r="P5" s="31"/>
      <c r="Q5" s="31"/>
      <c r="R5" s="31"/>
      <c r="S5" s="31"/>
      <c r="T5" s="31"/>
      <c r="U5" s="31"/>
      <c r="V5" s="31"/>
      <c r="W5" s="31"/>
    </row>
    <row r="6" spans="2:23" ht="21" x14ac:dyDescent="0.35">
      <c r="B6" s="32"/>
      <c r="C6" s="32"/>
      <c r="D6" s="31"/>
      <c r="E6" s="31"/>
      <c r="F6" s="31"/>
      <c r="G6" s="31"/>
      <c r="H6" s="31"/>
      <c r="I6" s="31"/>
      <c r="J6" s="31"/>
      <c r="K6" s="31"/>
      <c r="L6" s="31"/>
      <c r="M6" s="31"/>
      <c r="N6" s="31"/>
      <c r="O6" s="31"/>
      <c r="P6" s="31"/>
      <c r="Q6" s="31"/>
      <c r="R6" s="31"/>
      <c r="S6" s="31"/>
      <c r="T6" s="31"/>
      <c r="U6" s="31"/>
      <c r="V6" s="31"/>
      <c r="W6" s="31"/>
    </row>
    <row r="7" spans="2:23" ht="21" x14ac:dyDescent="0.35">
      <c r="B7" s="32"/>
      <c r="C7" s="32"/>
      <c r="D7" s="31"/>
      <c r="E7" s="31"/>
      <c r="F7" s="31"/>
      <c r="G7" s="31"/>
      <c r="H7" s="31"/>
      <c r="I7" s="31"/>
      <c r="J7" s="31"/>
      <c r="K7" s="31"/>
      <c r="L7" s="31"/>
      <c r="M7" s="31"/>
      <c r="N7" s="31"/>
      <c r="O7" s="31"/>
      <c r="P7" s="31"/>
      <c r="Q7" s="31"/>
      <c r="R7" s="31"/>
      <c r="S7" s="31"/>
      <c r="T7" s="31"/>
      <c r="U7" s="31"/>
      <c r="V7" s="31"/>
      <c r="W7" s="31"/>
    </row>
    <row r="8" spans="2:23" ht="21" x14ac:dyDescent="0.35">
      <c r="B8" s="32"/>
      <c r="C8" s="32"/>
      <c r="D8" s="31"/>
      <c r="E8" s="31"/>
      <c r="F8" s="31"/>
      <c r="G8" s="31"/>
      <c r="H8" s="31"/>
      <c r="I8" s="31"/>
      <c r="J8" s="31"/>
      <c r="K8" s="31"/>
      <c r="L8" s="31"/>
      <c r="M8" s="31"/>
      <c r="N8" s="31"/>
      <c r="O8" s="31"/>
      <c r="P8" s="31"/>
      <c r="Q8" s="31"/>
      <c r="R8" s="31"/>
      <c r="S8" s="31"/>
      <c r="T8" s="31"/>
      <c r="U8" s="31"/>
      <c r="V8" s="31"/>
      <c r="W8" s="31"/>
    </row>
    <row r="9" spans="2:23" ht="21" x14ac:dyDescent="0.35">
      <c r="B9" s="32"/>
      <c r="C9" s="32"/>
      <c r="D9" s="31"/>
      <c r="E9" s="31"/>
      <c r="F9" s="31"/>
      <c r="G9" s="31"/>
      <c r="H9" s="31"/>
      <c r="I9" s="31"/>
      <c r="J9" s="31"/>
      <c r="K9" s="31"/>
      <c r="L9" s="31"/>
      <c r="M9" s="31"/>
      <c r="N9" s="31"/>
      <c r="O9" s="31"/>
      <c r="P9" s="31"/>
      <c r="Q9" s="31"/>
      <c r="R9" s="31"/>
      <c r="S9" s="31"/>
      <c r="T9" s="31"/>
      <c r="U9" s="31"/>
      <c r="V9" s="31"/>
      <c r="W9" s="31"/>
    </row>
    <row r="10" spans="2:23" ht="21" x14ac:dyDescent="0.35">
      <c r="B10" s="32"/>
      <c r="C10" s="32"/>
      <c r="D10" s="31"/>
      <c r="E10" s="31"/>
      <c r="F10" s="31"/>
      <c r="G10" s="31"/>
      <c r="H10" s="31"/>
      <c r="I10" s="31"/>
      <c r="J10" s="31"/>
      <c r="K10" s="31"/>
      <c r="L10" s="31"/>
      <c r="M10" s="31"/>
      <c r="N10" s="31"/>
      <c r="O10" s="31"/>
      <c r="P10" s="31"/>
      <c r="Q10" s="31"/>
      <c r="R10" s="31"/>
      <c r="S10" s="31"/>
      <c r="T10" s="31"/>
      <c r="U10" s="31"/>
      <c r="V10" s="31"/>
      <c r="W10" s="31"/>
    </row>
    <row r="11" spans="2:23" ht="21" x14ac:dyDescent="0.35">
      <c r="B11" s="32"/>
      <c r="C11" s="32"/>
      <c r="D11" s="31"/>
      <c r="E11" s="31"/>
      <c r="F11" s="31"/>
      <c r="G11" s="31"/>
      <c r="H11" s="31"/>
      <c r="I11" s="31"/>
      <c r="J11" s="31"/>
      <c r="K11" s="31"/>
      <c r="L11" s="31"/>
      <c r="M11" s="31"/>
      <c r="N11" s="31"/>
      <c r="O11" s="31"/>
      <c r="P11" s="31"/>
      <c r="Q11" s="31"/>
      <c r="R11" s="31"/>
      <c r="S11" s="31"/>
      <c r="T11" s="31"/>
      <c r="U11" s="31"/>
      <c r="V11" s="31"/>
      <c r="W11" s="31"/>
    </row>
    <row r="12" spans="2:23" ht="21" x14ac:dyDescent="0.35">
      <c r="B12" s="32"/>
      <c r="C12" s="32"/>
      <c r="D12" s="31"/>
      <c r="E12" s="31"/>
      <c r="F12" s="31"/>
      <c r="G12" s="31"/>
      <c r="H12" s="31"/>
      <c r="I12" s="31"/>
      <c r="J12" s="31"/>
      <c r="K12" s="31"/>
      <c r="L12" s="31"/>
      <c r="M12" s="31"/>
      <c r="N12" s="31"/>
      <c r="O12" s="31"/>
      <c r="P12" s="31"/>
      <c r="Q12" s="31"/>
      <c r="R12" s="31"/>
      <c r="S12" s="31"/>
      <c r="T12" s="31"/>
      <c r="U12" s="31"/>
      <c r="V12" s="31"/>
      <c r="W12" s="31"/>
    </row>
    <row r="13" spans="2:23" ht="21" x14ac:dyDescent="0.35">
      <c r="B13" s="32"/>
      <c r="C13" s="32"/>
      <c r="D13" s="31"/>
      <c r="E13" s="31"/>
      <c r="F13" s="31"/>
      <c r="G13" s="31"/>
      <c r="H13" s="31"/>
      <c r="I13" s="31"/>
      <c r="J13" s="31"/>
      <c r="K13" s="31"/>
      <c r="L13" s="31"/>
      <c r="M13" s="31"/>
      <c r="N13" s="31"/>
      <c r="O13" s="31"/>
      <c r="P13" s="31"/>
      <c r="Q13" s="31"/>
      <c r="R13" s="31"/>
      <c r="S13" s="31"/>
      <c r="T13" s="31"/>
      <c r="U13" s="31"/>
      <c r="V13" s="31"/>
      <c r="W13" s="31"/>
    </row>
    <row r="14" spans="2:23" ht="21" x14ac:dyDescent="0.35">
      <c r="B14" s="32"/>
      <c r="C14" s="32"/>
      <c r="D14" s="31"/>
      <c r="E14" s="31"/>
      <c r="F14" s="31"/>
      <c r="G14" s="31"/>
      <c r="H14" s="31"/>
      <c r="I14" s="31"/>
      <c r="J14" s="31"/>
      <c r="K14" s="31"/>
      <c r="L14" s="31"/>
      <c r="M14" s="31"/>
      <c r="N14" s="31"/>
      <c r="O14" s="31"/>
      <c r="P14" s="31"/>
      <c r="Q14" s="31"/>
      <c r="R14" s="31"/>
      <c r="S14" s="31"/>
      <c r="T14" s="31"/>
      <c r="U14" s="31"/>
      <c r="V14" s="31"/>
      <c r="W14" s="31"/>
    </row>
    <row r="15" spans="2:23" ht="21" x14ac:dyDescent="0.35">
      <c r="B15" s="32"/>
      <c r="C15" s="32"/>
      <c r="D15" s="31"/>
      <c r="E15" s="31"/>
      <c r="F15" s="31"/>
      <c r="G15" s="31"/>
      <c r="H15" s="31"/>
      <c r="I15" s="31"/>
      <c r="J15" s="31"/>
      <c r="K15" s="31"/>
      <c r="L15" s="31"/>
      <c r="M15" s="31"/>
      <c r="N15" s="31"/>
      <c r="O15" s="31"/>
      <c r="P15" s="31"/>
      <c r="Q15" s="31"/>
      <c r="R15" s="31"/>
      <c r="S15" s="31"/>
      <c r="T15" s="31"/>
      <c r="U15" s="31"/>
      <c r="V15" s="31"/>
      <c r="W15" s="31"/>
    </row>
    <row r="16" spans="2:23" ht="21" x14ac:dyDescent="0.35">
      <c r="B16" s="32"/>
      <c r="C16" s="32"/>
      <c r="D16" s="31"/>
      <c r="E16" s="31"/>
      <c r="F16" s="31"/>
      <c r="G16" s="31"/>
      <c r="H16" s="31"/>
      <c r="I16" s="31"/>
      <c r="J16" s="31"/>
      <c r="K16" s="31"/>
      <c r="L16" s="31"/>
      <c r="M16" s="31"/>
      <c r="N16" s="31"/>
      <c r="O16" s="31"/>
      <c r="P16" s="31"/>
      <c r="Q16" s="31"/>
      <c r="R16" s="31"/>
      <c r="S16" s="31"/>
      <c r="T16" s="31"/>
      <c r="U16" s="31"/>
      <c r="V16" s="31"/>
      <c r="W16" s="31"/>
    </row>
    <row r="17" spans="2:23" ht="21" x14ac:dyDescent="0.35">
      <c r="B17" s="32"/>
      <c r="C17" s="32"/>
      <c r="D17" s="31"/>
      <c r="E17" s="31"/>
      <c r="F17" s="31"/>
      <c r="G17" s="31"/>
      <c r="H17" s="31"/>
      <c r="I17" s="31"/>
      <c r="J17" s="31"/>
      <c r="K17" s="31"/>
      <c r="L17" s="31"/>
      <c r="M17" s="31"/>
      <c r="N17" s="31"/>
      <c r="O17" s="31"/>
      <c r="P17" s="31"/>
      <c r="Q17" s="31"/>
      <c r="R17" s="31"/>
      <c r="S17" s="31"/>
      <c r="T17" s="31"/>
      <c r="U17" s="31"/>
      <c r="V17" s="31"/>
      <c r="W17" s="31"/>
    </row>
    <row r="18" spans="2:23" ht="21" x14ac:dyDescent="0.35">
      <c r="B18" s="32"/>
      <c r="C18" s="32"/>
      <c r="D18" s="31"/>
      <c r="E18" s="31"/>
      <c r="F18" s="31"/>
      <c r="G18" s="31"/>
      <c r="H18" s="31"/>
      <c r="I18" s="31"/>
      <c r="J18" s="31"/>
      <c r="K18" s="31"/>
      <c r="L18" s="31"/>
      <c r="M18" s="31"/>
      <c r="N18" s="31"/>
      <c r="O18" s="31"/>
      <c r="P18" s="31"/>
      <c r="Q18" s="31"/>
      <c r="R18" s="31"/>
      <c r="S18" s="31"/>
      <c r="T18" s="31"/>
      <c r="U18" s="31"/>
      <c r="V18" s="31"/>
      <c r="W18" s="31"/>
    </row>
    <row r="19" spans="2:23" ht="21" x14ac:dyDescent="0.35">
      <c r="B19" s="32">
        <v>2</v>
      </c>
      <c r="C19" s="32" t="s">
        <v>133</v>
      </c>
      <c r="D19" s="31"/>
      <c r="E19" s="31"/>
      <c r="F19" s="31"/>
      <c r="G19" s="31"/>
      <c r="H19" s="31"/>
      <c r="I19" s="31"/>
      <c r="J19" s="31"/>
      <c r="K19" s="31"/>
      <c r="L19" s="31"/>
      <c r="M19" s="31"/>
      <c r="N19" s="31"/>
      <c r="O19" s="31"/>
      <c r="P19" s="31"/>
      <c r="Q19" s="31"/>
      <c r="R19" s="31"/>
      <c r="S19" s="31"/>
      <c r="T19" s="31"/>
      <c r="U19" s="31"/>
      <c r="V19" s="31"/>
      <c r="W19" s="31"/>
    </row>
    <row r="20" spans="2:23" ht="21" x14ac:dyDescent="0.35">
      <c r="B20" s="32">
        <v>3</v>
      </c>
      <c r="C20" s="32" t="s">
        <v>119</v>
      </c>
      <c r="D20" s="31"/>
      <c r="E20" s="31"/>
      <c r="F20" s="31"/>
      <c r="G20" s="31"/>
      <c r="H20" s="31"/>
      <c r="I20" s="31"/>
      <c r="J20" s="31"/>
      <c r="K20" s="31"/>
      <c r="L20" s="31"/>
      <c r="M20" s="31"/>
      <c r="N20" s="31"/>
      <c r="O20" s="31"/>
      <c r="P20" s="31"/>
      <c r="Q20" s="31"/>
      <c r="R20" s="31"/>
      <c r="S20" s="31"/>
      <c r="T20" s="31"/>
      <c r="U20" s="31"/>
      <c r="V20" s="31"/>
      <c r="W20" s="31"/>
    </row>
    <row r="21" spans="2:23" ht="21" x14ac:dyDescent="0.35">
      <c r="B21" s="32"/>
      <c r="C21" s="32"/>
      <c r="D21" s="31"/>
      <c r="E21" s="31"/>
      <c r="F21" s="31"/>
      <c r="G21" s="31"/>
      <c r="H21" s="31"/>
      <c r="I21" s="31"/>
      <c r="J21" s="31"/>
      <c r="K21" s="31"/>
      <c r="L21" s="31"/>
      <c r="M21" s="31"/>
      <c r="N21" s="31"/>
      <c r="O21" s="31"/>
      <c r="P21" s="31"/>
      <c r="Q21" s="31"/>
      <c r="R21" s="31"/>
      <c r="S21" s="31"/>
      <c r="T21" s="31"/>
      <c r="U21" s="31"/>
      <c r="V21" s="31"/>
      <c r="W21" s="31"/>
    </row>
    <row r="22" spans="2:23" ht="21" x14ac:dyDescent="0.35">
      <c r="B22" s="32"/>
      <c r="C22" s="32"/>
      <c r="D22" s="31"/>
      <c r="E22" s="31"/>
      <c r="F22" s="31"/>
      <c r="G22" s="31"/>
      <c r="H22" s="31"/>
      <c r="I22" s="31"/>
      <c r="J22" s="31"/>
      <c r="K22" s="31"/>
      <c r="L22" s="31"/>
      <c r="M22" s="31"/>
      <c r="N22" s="31"/>
      <c r="O22" s="31"/>
      <c r="P22" s="31"/>
      <c r="Q22" s="31"/>
      <c r="R22" s="31"/>
      <c r="S22" s="31"/>
      <c r="T22" s="31"/>
      <c r="U22" s="31"/>
      <c r="V22" s="31"/>
      <c r="W22" s="31"/>
    </row>
    <row r="23" spans="2:23" ht="21" x14ac:dyDescent="0.35">
      <c r="B23" s="32"/>
      <c r="C23" s="32"/>
      <c r="D23" s="31"/>
      <c r="E23" s="31"/>
      <c r="F23" s="31"/>
      <c r="G23" s="31"/>
      <c r="H23" s="31"/>
      <c r="I23" s="31"/>
      <c r="J23" s="31"/>
      <c r="K23" s="31"/>
      <c r="L23" s="31"/>
      <c r="M23" s="31"/>
      <c r="N23" s="31"/>
      <c r="O23" s="31"/>
      <c r="P23" s="31"/>
      <c r="Q23" s="31"/>
      <c r="R23" s="31"/>
      <c r="S23" s="31"/>
      <c r="T23" s="31"/>
      <c r="U23" s="31"/>
      <c r="V23" s="31"/>
      <c r="W23" s="31"/>
    </row>
    <row r="24" spans="2:23" ht="21" x14ac:dyDescent="0.35">
      <c r="B24" s="32"/>
      <c r="C24" s="32"/>
      <c r="D24" s="31"/>
      <c r="E24" s="31"/>
      <c r="F24" s="31"/>
      <c r="G24" s="31"/>
      <c r="H24" s="31"/>
      <c r="I24" s="31"/>
      <c r="J24" s="31"/>
      <c r="K24" s="31"/>
      <c r="L24" s="31"/>
      <c r="M24" s="31"/>
      <c r="N24" s="31"/>
      <c r="O24" s="31"/>
      <c r="P24" s="31"/>
      <c r="Q24" s="31"/>
      <c r="R24" s="31"/>
      <c r="S24" s="31"/>
      <c r="T24" s="31"/>
      <c r="U24" s="31"/>
      <c r="V24" s="31"/>
      <c r="W24" s="31"/>
    </row>
    <row r="25" spans="2:23" ht="21" x14ac:dyDescent="0.35">
      <c r="B25" s="32"/>
      <c r="C25" s="32"/>
      <c r="D25" s="31"/>
      <c r="E25" s="31"/>
      <c r="F25" s="31"/>
      <c r="G25" s="31"/>
      <c r="H25" s="31"/>
      <c r="I25" s="31"/>
      <c r="J25" s="31"/>
      <c r="K25" s="31"/>
      <c r="L25" s="31"/>
      <c r="M25" s="31"/>
      <c r="N25" s="31"/>
      <c r="O25" s="31"/>
      <c r="P25" s="31"/>
      <c r="Q25" s="31"/>
      <c r="R25" s="31"/>
      <c r="S25" s="31"/>
      <c r="T25" s="31"/>
      <c r="U25" s="31"/>
      <c r="V25" s="31"/>
      <c r="W25" s="31"/>
    </row>
    <row r="26" spans="2:23" ht="21" x14ac:dyDescent="0.35">
      <c r="B26" s="32"/>
      <c r="C26" s="32"/>
      <c r="D26" s="31"/>
      <c r="E26" s="31"/>
      <c r="F26" s="31"/>
      <c r="G26" s="31"/>
      <c r="H26" s="31"/>
      <c r="I26" s="31"/>
      <c r="J26" s="31"/>
      <c r="K26" s="31"/>
      <c r="L26" s="31"/>
      <c r="M26" s="31"/>
      <c r="N26" s="31"/>
      <c r="O26" s="31"/>
      <c r="P26" s="31"/>
      <c r="Q26" s="31"/>
      <c r="R26" s="31"/>
      <c r="S26" s="31"/>
      <c r="T26" s="31"/>
      <c r="U26" s="31"/>
      <c r="V26" s="31"/>
      <c r="W26" s="31"/>
    </row>
    <row r="27" spans="2:23" ht="21" x14ac:dyDescent="0.35">
      <c r="B27" s="32"/>
      <c r="C27" s="32"/>
      <c r="D27" s="31"/>
      <c r="E27" s="31"/>
      <c r="F27" s="31"/>
      <c r="G27" s="31"/>
      <c r="H27" s="31"/>
      <c r="I27" s="31"/>
      <c r="J27" s="31"/>
      <c r="K27" s="31"/>
      <c r="L27" s="31"/>
      <c r="M27" s="31"/>
      <c r="N27" s="31"/>
      <c r="O27" s="31"/>
      <c r="P27" s="31"/>
      <c r="Q27" s="31"/>
      <c r="R27" s="31"/>
      <c r="S27" s="31"/>
      <c r="T27" s="31"/>
      <c r="U27" s="31"/>
      <c r="V27" s="31"/>
      <c r="W27" s="31"/>
    </row>
    <row r="28" spans="2:23" ht="21" x14ac:dyDescent="0.35">
      <c r="B28" s="32"/>
      <c r="C28" s="32"/>
      <c r="D28" s="31"/>
      <c r="E28" s="31"/>
      <c r="F28" s="31"/>
      <c r="G28" s="31"/>
      <c r="H28" s="31"/>
      <c r="I28" s="31"/>
      <c r="J28" s="31"/>
      <c r="K28" s="31"/>
      <c r="L28" s="31"/>
      <c r="M28" s="31"/>
      <c r="N28" s="31"/>
      <c r="O28" s="31"/>
      <c r="P28" s="31"/>
      <c r="Q28" s="31"/>
      <c r="R28" s="31"/>
      <c r="S28" s="31"/>
      <c r="T28" s="31"/>
      <c r="U28" s="31"/>
      <c r="V28" s="31"/>
      <c r="W28" s="31"/>
    </row>
    <row r="29" spans="2:23" ht="21" x14ac:dyDescent="0.35">
      <c r="B29" s="32"/>
      <c r="C29" s="32"/>
      <c r="D29" s="31"/>
      <c r="E29" s="31"/>
      <c r="F29" s="31"/>
      <c r="G29" s="31"/>
      <c r="H29" s="31"/>
      <c r="I29" s="31"/>
      <c r="J29" s="31"/>
      <c r="K29" s="31"/>
      <c r="L29" s="31"/>
      <c r="M29" s="31"/>
      <c r="N29" s="31"/>
      <c r="O29" s="31"/>
      <c r="P29" s="31"/>
      <c r="Q29" s="31"/>
      <c r="R29" s="31"/>
      <c r="S29" s="31"/>
      <c r="T29" s="31"/>
      <c r="U29" s="31"/>
      <c r="V29" s="31"/>
      <c r="W29" s="31"/>
    </row>
    <row r="30" spans="2:23" ht="21" x14ac:dyDescent="0.35">
      <c r="B30" s="32"/>
      <c r="C30" s="32"/>
      <c r="D30" s="31"/>
      <c r="E30" s="31"/>
      <c r="F30" s="31"/>
      <c r="G30" s="31"/>
      <c r="H30" s="31"/>
      <c r="I30" s="31"/>
      <c r="J30" s="31"/>
      <c r="K30" s="31"/>
      <c r="L30" s="31"/>
      <c r="M30" s="31"/>
      <c r="N30" s="31"/>
      <c r="O30" s="31"/>
      <c r="P30" s="31"/>
      <c r="Q30" s="31"/>
      <c r="R30" s="31"/>
      <c r="S30" s="31"/>
      <c r="T30" s="31"/>
      <c r="U30" s="31"/>
      <c r="V30" s="31"/>
      <c r="W30" s="31"/>
    </row>
    <row r="31" spans="2:23" ht="21" x14ac:dyDescent="0.35">
      <c r="B31" s="32"/>
      <c r="C31" s="32"/>
      <c r="D31" s="31"/>
      <c r="E31" s="31"/>
      <c r="F31" s="31"/>
      <c r="G31" s="31"/>
      <c r="H31" s="31"/>
      <c r="I31" s="31"/>
      <c r="J31" s="31"/>
      <c r="K31" s="31"/>
      <c r="L31" s="31"/>
      <c r="M31" s="31"/>
      <c r="N31" s="31"/>
      <c r="O31" s="31"/>
      <c r="P31" s="31"/>
      <c r="Q31" s="31"/>
      <c r="R31" s="31"/>
      <c r="S31" s="31"/>
      <c r="T31" s="31"/>
      <c r="U31" s="31"/>
      <c r="V31" s="31"/>
      <c r="W31" s="31"/>
    </row>
    <row r="32" spans="2:23" ht="21" x14ac:dyDescent="0.35">
      <c r="B32" s="32"/>
      <c r="C32" s="32"/>
      <c r="D32" s="31"/>
      <c r="E32" s="31"/>
      <c r="F32" s="31"/>
      <c r="G32" s="31"/>
      <c r="H32" s="31"/>
      <c r="I32" s="31"/>
      <c r="J32" s="31"/>
      <c r="K32" s="31"/>
      <c r="L32" s="31"/>
      <c r="M32" s="31"/>
      <c r="N32" s="31"/>
      <c r="O32" s="31"/>
      <c r="P32" s="31"/>
      <c r="Q32" s="31"/>
      <c r="R32" s="31"/>
      <c r="S32" s="31"/>
      <c r="T32" s="31"/>
      <c r="U32" s="31"/>
      <c r="V32" s="31"/>
      <c r="W32" s="31"/>
    </row>
    <row r="33" spans="2:23" ht="21" x14ac:dyDescent="0.35">
      <c r="B33" s="32"/>
      <c r="C33" s="32"/>
      <c r="D33" s="31"/>
      <c r="E33" s="31"/>
      <c r="F33" s="31"/>
      <c r="G33" s="31"/>
      <c r="H33" s="31"/>
      <c r="I33" s="31"/>
      <c r="J33" s="31"/>
      <c r="K33" s="31"/>
      <c r="L33" s="31"/>
      <c r="M33" s="31"/>
      <c r="N33" s="31"/>
      <c r="O33" s="31"/>
      <c r="P33" s="31"/>
      <c r="Q33" s="31"/>
      <c r="R33" s="31"/>
      <c r="S33" s="31"/>
      <c r="T33" s="31"/>
      <c r="U33" s="31"/>
      <c r="V33" s="31"/>
      <c r="W33" s="31"/>
    </row>
    <row r="34" spans="2:23" ht="21" x14ac:dyDescent="0.35">
      <c r="B34" s="32"/>
      <c r="C34" s="32"/>
      <c r="D34" s="31"/>
      <c r="E34" s="31"/>
      <c r="F34" s="31"/>
      <c r="G34" s="31"/>
      <c r="H34" s="31"/>
      <c r="I34" s="31"/>
      <c r="J34" s="31"/>
      <c r="K34" s="31"/>
      <c r="L34" s="31"/>
      <c r="M34" s="31"/>
      <c r="N34" s="31"/>
      <c r="O34" s="31"/>
      <c r="P34" s="31"/>
      <c r="Q34" s="31"/>
      <c r="R34" s="31"/>
      <c r="S34" s="31"/>
      <c r="T34" s="31"/>
      <c r="U34" s="31"/>
      <c r="V34" s="31"/>
      <c r="W34" s="31"/>
    </row>
    <row r="35" spans="2:23" ht="21" x14ac:dyDescent="0.35">
      <c r="B35" s="32"/>
      <c r="C35" s="32"/>
      <c r="D35" s="31"/>
      <c r="E35" s="31"/>
      <c r="F35" s="31"/>
      <c r="G35" s="31"/>
      <c r="H35" s="31"/>
      <c r="I35" s="31"/>
      <c r="J35" s="31"/>
      <c r="K35" s="31"/>
      <c r="L35" s="31"/>
      <c r="M35" s="31"/>
      <c r="N35" s="31"/>
      <c r="O35" s="31"/>
      <c r="P35" s="31"/>
      <c r="Q35" s="31"/>
      <c r="R35" s="31"/>
      <c r="S35" s="31"/>
      <c r="T35" s="31"/>
      <c r="U35" s="31"/>
      <c r="V35" s="31"/>
      <c r="W35" s="31"/>
    </row>
    <row r="36" spans="2:23" ht="21" x14ac:dyDescent="0.35">
      <c r="B36" s="32"/>
      <c r="C36" s="32"/>
      <c r="D36" s="31"/>
      <c r="E36" s="31"/>
      <c r="F36" s="31"/>
      <c r="G36" s="31"/>
      <c r="H36" s="31"/>
      <c r="I36" s="31"/>
      <c r="J36" s="31"/>
      <c r="K36" s="31"/>
      <c r="L36" s="31"/>
      <c r="M36" s="31"/>
      <c r="N36" s="31"/>
      <c r="O36" s="31"/>
      <c r="P36" s="31"/>
      <c r="Q36" s="31"/>
      <c r="R36" s="31"/>
      <c r="S36" s="31"/>
      <c r="T36" s="31"/>
      <c r="U36" s="31"/>
      <c r="V36" s="31"/>
      <c r="W36" s="31"/>
    </row>
    <row r="37" spans="2:23" ht="21" x14ac:dyDescent="0.35">
      <c r="B37" s="32"/>
      <c r="C37" s="32"/>
      <c r="D37" s="31"/>
      <c r="E37" s="31"/>
      <c r="F37" s="31"/>
      <c r="G37" s="31"/>
      <c r="H37" s="31"/>
      <c r="I37" s="31"/>
      <c r="J37" s="31"/>
      <c r="K37" s="31"/>
      <c r="L37" s="31"/>
      <c r="M37" s="31"/>
      <c r="N37" s="31"/>
      <c r="O37" s="31"/>
      <c r="P37" s="31"/>
      <c r="Q37" s="31"/>
      <c r="R37" s="31"/>
      <c r="S37" s="31"/>
      <c r="T37" s="31"/>
      <c r="U37" s="31"/>
      <c r="V37" s="31"/>
      <c r="W37" s="31"/>
    </row>
    <row r="38" spans="2:23" ht="21" x14ac:dyDescent="0.35">
      <c r="B38" s="32"/>
      <c r="C38" s="32"/>
      <c r="D38" s="31"/>
      <c r="E38" s="31"/>
      <c r="F38" s="31"/>
      <c r="G38" s="31"/>
      <c r="H38" s="31"/>
      <c r="I38" s="31"/>
      <c r="J38" s="31"/>
      <c r="K38" s="31"/>
      <c r="L38" s="31"/>
      <c r="M38" s="31"/>
      <c r="N38" s="31"/>
      <c r="O38" s="31"/>
      <c r="P38" s="31"/>
      <c r="Q38" s="31"/>
      <c r="R38" s="31"/>
      <c r="S38" s="31"/>
      <c r="T38" s="31"/>
      <c r="U38" s="31"/>
      <c r="V38" s="31"/>
      <c r="W38" s="31"/>
    </row>
    <row r="39" spans="2:23" ht="21" x14ac:dyDescent="0.35">
      <c r="B39" s="32"/>
      <c r="C39" s="32"/>
      <c r="D39" s="31"/>
      <c r="E39" s="31"/>
      <c r="F39" s="31"/>
      <c r="G39" s="31"/>
      <c r="H39" s="31"/>
      <c r="I39" s="31"/>
      <c r="J39" s="31"/>
      <c r="K39" s="31"/>
      <c r="L39" s="31"/>
      <c r="M39" s="31"/>
      <c r="N39" s="31"/>
      <c r="O39" s="31"/>
      <c r="P39" s="31"/>
      <c r="Q39" s="31"/>
      <c r="R39" s="31"/>
      <c r="S39" s="31"/>
      <c r="T39" s="31"/>
      <c r="U39" s="31"/>
      <c r="V39" s="31"/>
      <c r="W39" s="31"/>
    </row>
    <row r="40" spans="2:23" ht="21" x14ac:dyDescent="0.35">
      <c r="B40" s="32"/>
      <c r="C40" s="32"/>
      <c r="D40" s="31"/>
      <c r="E40" s="31"/>
      <c r="F40" s="31"/>
      <c r="G40" s="31"/>
      <c r="H40" s="31"/>
      <c r="I40" s="31"/>
      <c r="J40" s="31"/>
      <c r="K40" s="31"/>
      <c r="L40" s="31"/>
      <c r="M40" s="31"/>
      <c r="N40" s="31"/>
      <c r="O40" s="31"/>
      <c r="P40" s="31"/>
      <c r="Q40" s="31"/>
      <c r="R40" s="31"/>
      <c r="S40" s="31"/>
      <c r="T40" s="31"/>
      <c r="U40" s="31"/>
      <c r="V40" s="31"/>
      <c r="W40" s="31"/>
    </row>
    <row r="41" spans="2:23" ht="21" x14ac:dyDescent="0.35">
      <c r="B41" s="32"/>
      <c r="C41" s="32"/>
      <c r="D41" s="31"/>
      <c r="E41" s="31"/>
      <c r="F41" s="31"/>
      <c r="G41" s="31"/>
      <c r="H41" s="31"/>
      <c r="I41" s="31"/>
      <c r="J41" s="31"/>
      <c r="K41" s="31"/>
      <c r="L41" s="31"/>
      <c r="M41" s="31"/>
      <c r="N41" s="31"/>
      <c r="O41" s="31"/>
      <c r="P41" s="31"/>
      <c r="Q41" s="31"/>
      <c r="R41" s="31"/>
      <c r="S41" s="31"/>
      <c r="T41" s="31"/>
      <c r="U41" s="31"/>
      <c r="V41" s="31"/>
      <c r="W41" s="31"/>
    </row>
    <row r="42" spans="2:23" ht="21" x14ac:dyDescent="0.35">
      <c r="B42" s="32">
        <v>4</v>
      </c>
      <c r="C42" s="32" t="s">
        <v>128</v>
      </c>
    </row>
    <row r="43" spans="2:23" ht="21" x14ac:dyDescent="0.35">
      <c r="B43" s="32">
        <v>5</v>
      </c>
      <c r="C43" s="32" t="s">
        <v>123</v>
      </c>
    </row>
    <row r="44" spans="2:23" x14ac:dyDescent="0.25">
      <c r="C44">
        <v>5.0999999999999996</v>
      </c>
      <c r="D44" t="s">
        <v>121</v>
      </c>
      <c r="E44" t="s">
        <v>120</v>
      </c>
    </row>
    <row r="45" spans="2:23" x14ac:dyDescent="0.25">
      <c r="E45" s="33" t="s">
        <v>122</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B0D4-4E69-4A82-AA45-6AC57F99F48F}">
  <dimension ref="C1:BA65"/>
  <sheetViews>
    <sheetView topLeftCell="M15" zoomScaleNormal="100" workbookViewId="0">
      <selection activeCell="A43" sqref="A43"/>
    </sheetView>
  </sheetViews>
  <sheetFormatPr defaultRowHeight="15" x14ac:dyDescent="0.25"/>
  <cols>
    <col min="1" max="2" width="9.7109375" style="30" customWidth="1"/>
    <col min="3" max="17" width="12.7109375" style="30" customWidth="1"/>
    <col min="18" max="43" width="10.7109375" style="30" customWidth="1"/>
    <col min="44" max="44" width="10.7109375" style="85" customWidth="1"/>
    <col min="45" max="45" width="10.7109375" style="30" customWidth="1"/>
    <col min="46" max="46" width="10.7109375" style="85" customWidth="1"/>
    <col min="47" max="16384" width="9.140625" style="30"/>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VLOOKUP('WR03-01'!C5,Data!C5:P13,11,FALSE)</f>
        <v>2</v>
      </c>
      <c r="N5" s="8">
        <f>VLOOKUP(C5,Data!C5:P13,12,FALSE)</f>
        <v>1.75</v>
      </c>
      <c r="O5" s="8">
        <f>VLOOKUP(C5,Data!C5:P13,13,FALSE)</f>
        <v>3.5</v>
      </c>
      <c r="P5" s="8">
        <f>VLOOKUP(C5,Data!C5:P13,14,FALSE)</f>
        <v>2.4324324324324325</v>
      </c>
      <c r="Q5" s="41">
        <f>1.05*H5*I31/H31</f>
        <v>2.4240508980626787</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6" t="s">
        <v>44</v>
      </c>
      <c r="E8" s="6" t="s">
        <v>45</v>
      </c>
      <c r="F8" s="6"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56"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28"/>
      <c r="AG14" s="38" t="s">
        <v>17</v>
      </c>
      <c r="AH14" s="48" t="s">
        <v>14</v>
      </c>
      <c r="AI14" s="48" t="s">
        <v>15</v>
      </c>
      <c r="AJ14" s="48" t="s">
        <v>15</v>
      </c>
      <c r="AK14" s="28"/>
      <c r="AL14" s="38" t="s">
        <v>17</v>
      </c>
      <c r="AM14" s="48" t="s">
        <v>15</v>
      </c>
      <c r="AN14" s="48" t="s">
        <v>15</v>
      </c>
      <c r="AO14" s="28"/>
      <c r="AP14" s="38" t="s">
        <v>17</v>
      </c>
      <c r="AQ14" s="48" t="s">
        <v>15</v>
      </c>
      <c r="AR14" s="84"/>
      <c r="AS14" s="38" t="s">
        <v>17</v>
      </c>
      <c r="AT14" s="48" t="s">
        <v>15</v>
      </c>
    </row>
    <row r="15" spans="3:53" ht="16.5" thickTop="1" thickBot="1" x14ac:dyDescent="0.3">
      <c r="C15" s="61">
        <v>900</v>
      </c>
      <c r="D15" s="62">
        <v>600</v>
      </c>
      <c r="E15" s="62">
        <v>35</v>
      </c>
      <c r="F15" s="22">
        <f>C15-2*E15-C21</f>
        <v>822</v>
      </c>
      <c r="G15" s="22">
        <f>D15-2*E15-C21</f>
        <v>522</v>
      </c>
      <c r="H15" s="63" t="s">
        <v>108</v>
      </c>
      <c r="AB15" s="7">
        <v>-0.1</v>
      </c>
      <c r="AC15" s="7">
        <v>0</v>
      </c>
      <c r="AD15" s="7">
        <v>-0.1</v>
      </c>
      <c r="AE15" s="7">
        <f>-0.1</f>
        <v>-0.1</v>
      </c>
      <c r="AF15" s="28"/>
      <c r="AG15" s="7">
        <v>-0.1</v>
      </c>
      <c r="AH15" s="7">
        <v>0</v>
      </c>
      <c r="AI15" s="7">
        <v>-0.1</v>
      </c>
      <c r="AJ15" s="7">
        <f>-0.1</f>
        <v>-0.1</v>
      </c>
      <c r="AK15" s="28"/>
      <c r="AL15" s="7">
        <v>-0.1</v>
      </c>
      <c r="AM15" s="7">
        <v>-0.1</v>
      </c>
      <c r="AN15" s="7">
        <f>-0.1</f>
        <v>-0.1</v>
      </c>
      <c r="AO15" s="28"/>
      <c r="AP15" s="7">
        <f>-1*J10</f>
        <v>-45</v>
      </c>
      <c r="AQ15" s="7">
        <f>-D10</f>
        <v>-500</v>
      </c>
      <c r="AR15" s="84"/>
      <c r="AS15" s="7">
        <f>-1*J10</f>
        <v>-45</v>
      </c>
      <c r="AT15" s="7">
        <f>-1*E10</f>
        <v>-540</v>
      </c>
      <c r="AV15" s="30">
        <f>$K$5</f>
        <v>2</v>
      </c>
      <c r="AW15" s="30">
        <f t="shared" ref="AW15:AW37" si="0">$AB$36</f>
        <v>2.6582440902605593</v>
      </c>
      <c r="AX15" s="30">
        <f t="shared" ref="AX15:AX37" si="1">$AL$37</f>
        <v>3.5</v>
      </c>
      <c r="AY15" s="30">
        <f t="shared" ref="AY15:AY37" si="2">$AB$37</f>
        <v>9.6150221967684537</v>
      </c>
      <c r="AZ15" s="30">
        <f t="shared" ref="AZ15:AZ37" si="3">$AG$37</f>
        <v>16.908086233063667</v>
      </c>
      <c r="BA15" s="30">
        <f t="shared" ref="BA15:BA37" si="4">$AI$36</f>
        <v>59.216971501021312</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AB16" s="6">
        <v>0</v>
      </c>
      <c r="AC16" s="6">
        <f t="shared" ref="AC16:AC36" si="5">AB16/$D$31</f>
        <v>0</v>
      </c>
      <c r="AD16" s="6">
        <f t="shared" ref="AD16:AD36" si="6">IF(AB16&lt;=$AB$36,$C$31*(1-(1-AB16/$AB$36)^$M$5),$C$31)</f>
        <v>0</v>
      </c>
      <c r="AE16" s="6">
        <f>AD16*$N$10/$L$10</f>
        <v>0</v>
      </c>
      <c r="AF16" s="28"/>
      <c r="AG16" s="6">
        <v>0</v>
      </c>
      <c r="AH16" s="6">
        <f t="shared" ref="AH16:AH36" si="7">AG16/$I$31</f>
        <v>0</v>
      </c>
      <c r="AI16" s="6">
        <f t="shared" ref="AI16:AI36" si="8">IF(AG16&lt;=$AG$36,$H$31*AH16*($Q$5-AH16)/(1+($Q$5-2)*AH16))</f>
        <v>0</v>
      </c>
      <c r="AJ16" s="6">
        <f>AI16*$N$10/$L$10</f>
        <v>0</v>
      </c>
      <c r="AK16" s="28"/>
      <c r="AL16" s="6">
        <v>0</v>
      </c>
      <c r="AM16" s="6">
        <f t="shared" ref="AM16:AM22" si="9">$E$5*(1-(1-AL16/$K$5)^$M$5)</f>
        <v>0</v>
      </c>
      <c r="AN16" s="6">
        <f t="shared" ref="AN16:AN22" si="10">AM16*$N$10/$L$10</f>
        <v>0</v>
      </c>
      <c r="AO16" s="28"/>
      <c r="AP16" s="6">
        <f>-1*D10/G10</f>
        <v>-2.5</v>
      </c>
      <c r="AQ16" s="6">
        <f>AQ15</f>
        <v>-500</v>
      </c>
      <c r="AR16" s="84"/>
      <c r="AS16" s="6">
        <f>-1*H10</f>
        <v>-2.5</v>
      </c>
      <c r="AT16" s="6">
        <f>-1*D10</f>
        <v>-500</v>
      </c>
      <c r="AV16" s="30">
        <f t="shared" ref="AV16:AV37" si="11">$K$5</f>
        <v>2</v>
      </c>
      <c r="AW16" s="30">
        <f t="shared" si="0"/>
        <v>2.6582440902605593</v>
      </c>
      <c r="AX16" s="30">
        <f t="shared" si="1"/>
        <v>3.5</v>
      </c>
      <c r="AY16" s="30">
        <f t="shared" si="2"/>
        <v>9.6150221967684537</v>
      </c>
      <c r="AZ16" s="30">
        <f t="shared" si="3"/>
        <v>16.908086233063667</v>
      </c>
      <c r="BA16" s="30">
        <f t="shared" si="4"/>
        <v>59.216971501021312</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AB17" s="6">
        <f t="shared" ref="AB17:AB36" si="12">AB16+$D$31/20</f>
        <v>0.13291220451302793</v>
      </c>
      <c r="AC17" s="6">
        <f t="shared" si="5"/>
        <v>4.9999999999999996E-2</v>
      </c>
      <c r="AD17" s="6">
        <f t="shared" si="6"/>
        <v>5.6202683302311573</v>
      </c>
      <c r="AE17" s="6">
        <f t="shared" ref="AE17:AE22" si="13">AD17*$N$10/$L$10</f>
        <v>3.1848187204643224</v>
      </c>
      <c r="AF17" s="28"/>
      <c r="AG17" s="6">
        <f t="shared" ref="AG17:AG36" si="14">AG16+$I$31/20</f>
        <v>0.1921697150102131</v>
      </c>
      <c r="AH17" s="6">
        <f t="shared" si="7"/>
        <v>0.05</v>
      </c>
      <c r="AI17" s="6">
        <f t="shared" si="8"/>
        <v>6.8832625356357102</v>
      </c>
      <c r="AJ17" s="6">
        <f t="shared" ref="AJ17:AJ22" si="15">AI17*$N$10/$L$10</f>
        <v>3.9005154368602355</v>
      </c>
      <c r="AK17" s="28"/>
      <c r="AL17" s="6">
        <f t="shared" ref="AL17:AL22" si="16">AL16+$K$5/20</f>
        <v>0.1</v>
      </c>
      <c r="AM17" s="6">
        <f t="shared" si="9"/>
        <v>4.8750000000000018</v>
      </c>
      <c r="AN17" s="6">
        <f t="shared" si="10"/>
        <v>2.7625000000000011</v>
      </c>
      <c r="AO17" s="28"/>
      <c r="AP17" s="6">
        <f>0</f>
        <v>0</v>
      </c>
      <c r="AQ17" s="6">
        <f>0</f>
        <v>0</v>
      </c>
      <c r="AR17" s="84"/>
      <c r="AS17" s="6">
        <f>0</f>
        <v>0</v>
      </c>
      <c r="AT17" s="6">
        <f>0</f>
        <v>0</v>
      </c>
      <c r="AV17" s="30">
        <f t="shared" si="11"/>
        <v>2</v>
      </c>
      <c r="AW17" s="30">
        <f t="shared" si="0"/>
        <v>2.6582440902605593</v>
      </c>
      <c r="AX17" s="30">
        <f t="shared" si="1"/>
        <v>3.5</v>
      </c>
      <c r="AY17" s="30">
        <f t="shared" si="2"/>
        <v>9.6150221967684537</v>
      </c>
      <c r="AZ17" s="30">
        <f t="shared" si="3"/>
        <v>16.908086233063667</v>
      </c>
      <c r="BA17" s="30">
        <f t="shared" si="4"/>
        <v>59.216971501021312</v>
      </c>
    </row>
    <row r="18" spans="3:53" ht="16.5" thickTop="1" thickBot="1" x14ac:dyDescent="0.3">
      <c r="C18" s="61">
        <v>16</v>
      </c>
      <c r="D18" s="62">
        <v>200</v>
      </c>
      <c r="E18" s="62">
        <v>200</v>
      </c>
      <c r="F18" s="21">
        <f>IF(ROUND(F15/D18,0)*D18&lt;F15-C18-C21,ROUND(F15/D18,0)+1,ROUND(F15/D18,0))</f>
        <v>4</v>
      </c>
      <c r="G18" s="21">
        <f>IF(ROUND(G15/E18,0)*E18&lt;G15-C18-C21,ROUND(G15/E18,0)+1,ROUND(G15/E18,0))</f>
        <v>3</v>
      </c>
      <c r="H18" s="22">
        <f>(F15-C21-C18)/F18</f>
        <v>199.5</v>
      </c>
      <c r="I18" s="22">
        <f>(G15-C21-C18)/G18</f>
        <v>166</v>
      </c>
      <c r="J18" s="67" t="s">
        <v>98</v>
      </c>
      <c r="K18" s="22">
        <f>IF(J18="Min",IF(D18=200,H18,IF(2*H18&lt;=200,2*H18,H18)),IF(J18="Max",H18))</f>
        <v>199.5</v>
      </c>
      <c r="L18" s="22">
        <f>IF(J18="Min",IF(E18=200,I18,IF(2*I18&lt;=200,2*I18,I18)),IF(J18="Max",I18))</f>
        <v>166</v>
      </c>
      <c r="M18" s="21">
        <f>IF(K18=H18,F18,F18/2)</f>
        <v>4</v>
      </c>
      <c r="N18" s="83">
        <f>IF(L18=I18,G18,G18/2)</f>
        <v>3</v>
      </c>
      <c r="O18" s="27"/>
      <c r="P18" s="27"/>
      <c r="Q18" s="27"/>
      <c r="R18" s="27"/>
      <c r="S18" s="27"/>
      <c r="T18" s="27"/>
      <c r="U18" s="27"/>
      <c r="V18" s="27"/>
      <c r="AB18" s="6">
        <f t="shared" si="12"/>
        <v>0.26582440902605586</v>
      </c>
      <c r="AC18" s="6">
        <f t="shared" si="5"/>
        <v>9.9999999999999992E-2</v>
      </c>
      <c r="AD18" s="6">
        <f t="shared" si="6"/>
        <v>10.952317771732504</v>
      </c>
      <c r="AE18" s="6">
        <f t="shared" si="13"/>
        <v>6.2063134039817527</v>
      </c>
      <c r="AF18" s="28"/>
      <c r="AG18" s="6">
        <f t="shared" si="14"/>
        <v>0.3843394300204262</v>
      </c>
      <c r="AH18" s="6">
        <f t="shared" si="7"/>
        <v>0.1</v>
      </c>
      <c r="AI18" s="6">
        <f t="shared" si="8"/>
        <v>13.20247350510137</v>
      </c>
      <c r="AJ18" s="6">
        <f t="shared" si="15"/>
        <v>7.481401652890777</v>
      </c>
      <c r="AK18" s="28"/>
      <c r="AL18" s="6">
        <f t="shared" si="16"/>
        <v>0.2</v>
      </c>
      <c r="AM18" s="6">
        <f t="shared" si="9"/>
        <v>9.4999999999999964</v>
      </c>
      <c r="AN18" s="6">
        <f t="shared" si="10"/>
        <v>5.383333333333332</v>
      </c>
      <c r="AO18" s="28"/>
      <c r="AP18" s="6">
        <f>-1*AP16</f>
        <v>2.5</v>
      </c>
      <c r="AQ18" s="6">
        <f>-1*AQ16</f>
        <v>500</v>
      </c>
      <c r="AR18" s="84"/>
      <c r="AS18" s="6">
        <f>H10</f>
        <v>2.5</v>
      </c>
      <c r="AT18" s="6">
        <f>D10</f>
        <v>500</v>
      </c>
      <c r="AV18" s="30">
        <f t="shared" si="11"/>
        <v>2</v>
      </c>
      <c r="AW18" s="30">
        <f t="shared" si="0"/>
        <v>2.6582440902605593</v>
      </c>
      <c r="AX18" s="30">
        <f t="shared" si="1"/>
        <v>3.5</v>
      </c>
      <c r="AY18" s="30">
        <f t="shared" si="2"/>
        <v>9.6150221967684537</v>
      </c>
      <c r="AZ18" s="30">
        <f t="shared" si="3"/>
        <v>16.908086233063667</v>
      </c>
      <c r="BA18" s="30">
        <f t="shared" si="4"/>
        <v>59.216971501021312</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AB19" s="6">
        <f t="shared" si="12"/>
        <v>0.3987366135390838</v>
      </c>
      <c r="AC19" s="6">
        <f t="shared" si="5"/>
        <v>0.15</v>
      </c>
      <c r="AD19" s="6">
        <f t="shared" si="6"/>
        <v>15.99614832450405</v>
      </c>
      <c r="AE19" s="6">
        <f t="shared" si="13"/>
        <v>9.064484050552295</v>
      </c>
      <c r="AF19" s="28"/>
      <c r="AG19" s="6">
        <f t="shared" si="14"/>
        <v>0.57650914503063933</v>
      </c>
      <c r="AH19" s="6">
        <f t="shared" si="7"/>
        <v>0.15000000000000002</v>
      </c>
      <c r="AI19" s="6">
        <f t="shared" si="8"/>
        <v>18.991365259319799</v>
      </c>
      <c r="AJ19" s="6">
        <f t="shared" si="15"/>
        <v>10.761773646947887</v>
      </c>
      <c r="AK19" s="28"/>
      <c r="AL19" s="6">
        <f>AL18+$K$5/20</f>
        <v>0.30000000000000004</v>
      </c>
      <c r="AM19" s="6">
        <f t="shared" si="9"/>
        <v>13.875000000000004</v>
      </c>
      <c r="AN19" s="6">
        <f t="shared" si="10"/>
        <v>7.8625000000000016</v>
      </c>
      <c r="AO19" s="28"/>
      <c r="AP19" s="6">
        <f>-1*AP15</f>
        <v>45</v>
      </c>
      <c r="AQ19" s="6">
        <f>AQ18</f>
        <v>500</v>
      </c>
      <c r="AR19" s="84"/>
      <c r="AS19" s="6">
        <f>J10</f>
        <v>45</v>
      </c>
      <c r="AT19" s="6">
        <f>E10</f>
        <v>540</v>
      </c>
      <c r="AV19" s="30">
        <f t="shared" si="11"/>
        <v>2</v>
      </c>
      <c r="AW19" s="30">
        <f t="shared" si="0"/>
        <v>2.6582440902605593</v>
      </c>
      <c r="AX19" s="30">
        <f t="shared" si="1"/>
        <v>3.5</v>
      </c>
      <c r="AY19" s="30">
        <f t="shared" si="2"/>
        <v>9.6150221967684537</v>
      </c>
      <c r="AZ19" s="30">
        <f t="shared" si="3"/>
        <v>16.908086233063667</v>
      </c>
      <c r="BA19" s="30">
        <f t="shared" si="4"/>
        <v>59.216971501021312</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AB20" s="6">
        <f t="shared" si="12"/>
        <v>0.53164881805211173</v>
      </c>
      <c r="AC20" s="6">
        <f t="shared" si="5"/>
        <v>0.19999999999999998</v>
      </c>
      <c r="AD20" s="6">
        <f t="shared" si="6"/>
        <v>20.7517599885458</v>
      </c>
      <c r="AE20" s="6">
        <f t="shared" si="13"/>
        <v>11.759330660175953</v>
      </c>
      <c r="AF20" s="28"/>
      <c r="AG20" s="6">
        <f t="shared" si="14"/>
        <v>0.7686788600408524</v>
      </c>
      <c r="AH20" s="6">
        <f t="shared" si="7"/>
        <v>0.2</v>
      </c>
      <c r="AI20" s="6">
        <f t="shared" si="8"/>
        <v>24.281032962732461</v>
      </c>
      <c r="AJ20" s="6">
        <f t="shared" si="15"/>
        <v>13.759252012215059</v>
      </c>
      <c r="AK20" s="28"/>
      <c r="AL20" s="6">
        <f t="shared" si="16"/>
        <v>0.4</v>
      </c>
      <c r="AM20" s="6">
        <f t="shared" si="9"/>
        <v>17.999999999999993</v>
      </c>
      <c r="AN20" s="6">
        <f t="shared" si="10"/>
        <v>10.199999999999996</v>
      </c>
      <c r="AO20" s="28"/>
      <c r="AS20" s="85"/>
      <c r="AV20" s="30">
        <f t="shared" si="11"/>
        <v>2</v>
      </c>
      <c r="AW20" s="30">
        <f t="shared" si="0"/>
        <v>2.6582440902605593</v>
      </c>
      <c r="AX20" s="30">
        <f t="shared" si="1"/>
        <v>3.5</v>
      </c>
      <c r="AY20" s="30">
        <f t="shared" si="2"/>
        <v>9.6150221967684537</v>
      </c>
      <c r="AZ20" s="30">
        <f t="shared" si="3"/>
        <v>16.908086233063667</v>
      </c>
      <c r="BA20" s="30">
        <f t="shared" si="4"/>
        <v>59.216971501021312</v>
      </c>
    </row>
    <row r="21" spans="3:53" ht="16.5" thickTop="1" thickBot="1" x14ac:dyDescent="0.3">
      <c r="C21" s="61">
        <v>8</v>
      </c>
      <c r="D21" s="62">
        <v>100</v>
      </c>
      <c r="E21" s="22">
        <f>(N18+1)*C21^2*PI()/4</f>
        <v>201.06192982974676</v>
      </c>
      <c r="F21" s="22">
        <f>(M18+1)*C21^2*PI()/4</f>
        <v>251.32741228718345</v>
      </c>
      <c r="G21" s="22">
        <f>E21/(D21*G15)*100</f>
        <v>0.38517611078495551</v>
      </c>
      <c r="H21" s="22">
        <f>F21/(D21*F15)*100</f>
        <v>0.30575110983842269</v>
      </c>
      <c r="I21" s="22">
        <f>1-(M18*2*(K18^2)+N18*2*(L18^2))/(6*F15*G15)</f>
        <v>0.81210438981644617</v>
      </c>
      <c r="J21" s="22">
        <f>(1-D21/(2*F15))*(1-D21/(2*G15))</f>
        <v>0.84921367377949297</v>
      </c>
      <c r="K21" s="22">
        <f>I21*J21</f>
        <v>0.68965015236847771</v>
      </c>
      <c r="L21" s="22">
        <f>2*MIN(G21,H21)</f>
        <v>0.61150221967684537</v>
      </c>
      <c r="M21" s="22">
        <f>L21/100*D10/E5</f>
        <v>6.1150221967684534E-2</v>
      </c>
      <c r="N21" s="23">
        <f>0.5*M21*E5</f>
        <v>1.5287555491921134</v>
      </c>
      <c r="O21" s="27"/>
      <c r="P21" s="27"/>
      <c r="Q21" s="27"/>
      <c r="R21" s="27"/>
      <c r="S21" s="27"/>
      <c r="T21" s="27"/>
      <c r="U21" s="27"/>
      <c r="V21" s="27"/>
      <c r="AB21" s="6">
        <f t="shared" si="12"/>
        <v>0.66456102256513971</v>
      </c>
      <c r="AC21" s="6">
        <f t="shared" si="5"/>
        <v>0.25</v>
      </c>
      <c r="AD21" s="6">
        <f t="shared" si="6"/>
        <v>25.21915276385775</v>
      </c>
      <c r="AE21" s="6">
        <f t="shared" si="13"/>
        <v>14.290853232852724</v>
      </c>
      <c r="AF21" s="28"/>
      <c r="AG21" s="6">
        <f t="shared" si="14"/>
        <v>0.96084857505106547</v>
      </c>
      <c r="AH21" s="6">
        <f t="shared" si="7"/>
        <v>0.25</v>
      </c>
      <c r="AI21" s="6">
        <f t="shared" si="8"/>
        <v>29.10018737097348</v>
      </c>
      <c r="AJ21" s="6">
        <f t="shared" si="15"/>
        <v>16.490106176884971</v>
      </c>
      <c r="AK21" s="28"/>
      <c r="AL21" s="6">
        <f t="shared" si="16"/>
        <v>0.5</v>
      </c>
      <c r="AM21" s="6">
        <f t="shared" si="9"/>
        <v>21.875</v>
      </c>
      <c r="AN21" s="6">
        <f t="shared" si="10"/>
        <v>12.395833333333334</v>
      </c>
      <c r="AO21" s="28"/>
      <c r="AP21" s="133" t="s">
        <v>70</v>
      </c>
      <c r="AQ21" s="133"/>
      <c r="AR21" s="53"/>
      <c r="AS21" s="133" t="s">
        <v>70</v>
      </c>
      <c r="AT21" s="133"/>
      <c r="AV21" s="30">
        <f t="shared" si="11"/>
        <v>2</v>
      </c>
      <c r="AW21" s="30">
        <f t="shared" si="0"/>
        <v>2.6582440902605593</v>
      </c>
      <c r="AX21" s="30">
        <f t="shared" si="1"/>
        <v>3.5</v>
      </c>
      <c r="AY21" s="30">
        <f t="shared" si="2"/>
        <v>9.6150221967684537</v>
      </c>
      <c r="AZ21" s="30">
        <f t="shared" si="3"/>
        <v>16.908086233063667</v>
      </c>
      <c r="BA21" s="30">
        <f t="shared" si="4"/>
        <v>59.216971501021312</v>
      </c>
    </row>
    <row r="22" spans="3:53" ht="18.75" thickBot="1" x14ac:dyDescent="0.3">
      <c r="AB22" s="6">
        <f t="shared" si="12"/>
        <v>0.7974732270781677</v>
      </c>
      <c r="AC22" s="6">
        <f t="shared" si="5"/>
        <v>0.30000000000000004</v>
      </c>
      <c r="AD22" s="6">
        <f t="shared" si="6"/>
        <v>29.398326650439891</v>
      </c>
      <c r="AE22" s="6">
        <f t="shared" si="13"/>
        <v>16.659051768582604</v>
      </c>
      <c r="AF22" s="28"/>
      <c r="AG22" s="6">
        <f t="shared" si="14"/>
        <v>1.1530182900612787</v>
      </c>
      <c r="AH22" s="6">
        <f t="shared" si="7"/>
        <v>0.30000000000000004</v>
      </c>
      <c r="AI22" s="6">
        <f t="shared" si="8"/>
        <v>33.475379080559023</v>
      </c>
      <c r="AJ22" s="6">
        <f t="shared" si="15"/>
        <v>18.969381478983447</v>
      </c>
      <c r="AK22" s="28"/>
      <c r="AL22" s="6">
        <f t="shared" si="16"/>
        <v>0.6</v>
      </c>
      <c r="AM22" s="6">
        <f t="shared" si="9"/>
        <v>25.5</v>
      </c>
      <c r="AN22" s="6">
        <f t="shared" si="10"/>
        <v>14.450000000000001</v>
      </c>
      <c r="AO22" s="28"/>
      <c r="AP22" s="45" t="s">
        <v>34</v>
      </c>
      <c r="AQ22" s="45" t="s">
        <v>72</v>
      </c>
      <c r="AR22" s="57"/>
      <c r="AS22" s="45" t="s">
        <v>34</v>
      </c>
      <c r="AT22" s="45" t="s">
        <v>72</v>
      </c>
      <c r="AV22" s="30">
        <f t="shared" si="11"/>
        <v>2</v>
      </c>
      <c r="AW22" s="30">
        <f t="shared" si="0"/>
        <v>2.6582440902605593</v>
      </c>
      <c r="AX22" s="30">
        <f t="shared" si="1"/>
        <v>3.5</v>
      </c>
      <c r="AY22" s="30">
        <f t="shared" si="2"/>
        <v>9.6150221967684537</v>
      </c>
      <c r="AZ22" s="30">
        <f t="shared" si="3"/>
        <v>16.908086233063667</v>
      </c>
      <c r="BA22" s="30">
        <f t="shared" si="4"/>
        <v>59.216971501021312</v>
      </c>
    </row>
    <row r="23" spans="3:53" ht="15.75" thickBot="1" x14ac:dyDescent="0.3">
      <c r="C23" s="146" t="s">
        <v>110</v>
      </c>
      <c r="D23" s="140"/>
      <c r="E23" s="141"/>
      <c r="F23" s="139" t="s">
        <v>111</v>
      </c>
      <c r="G23" s="140"/>
      <c r="H23" s="141"/>
      <c r="I23" s="139" t="s">
        <v>112</v>
      </c>
      <c r="J23" s="140"/>
      <c r="K23" s="141"/>
      <c r="AB23" s="6">
        <f t="shared" si="12"/>
        <v>0.93038543159119569</v>
      </c>
      <c r="AC23" s="6">
        <f t="shared" si="5"/>
        <v>0.35000000000000003</v>
      </c>
      <c r="AD23" s="6">
        <f t="shared" si="6"/>
        <v>33.289281648292224</v>
      </c>
      <c r="AE23" s="6">
        <f t="shared" ref="AE23:AE31" si="17">AD23*$N$10/$L$10</f>
        <v>18.863926267365592</v>
      </c>
      <c r="AF23" s="28"/>
      <c r="AG23" s="6">
        <f t="shared" si="14"/>
        <v>1.3451880050714917</v>
      </c>
      <c r="AH23" s="6">
        <f t="shared" si="7"/>
        <v>0.35000000000000003</v>
      </c>
      <c r="AI23" s="6">
        <f t="shared" si="8"/>
        <v>37.431197937456709</v>
      </c>
      <c r="AJ23" s="6">
        <f t="shared" ref="AJ23:AJ31" si="18">AI23*$N$10/$L$10</f>
        <v>21.211012164558799</v>
      </c>
      <c r="AK23" s="28"/>
      <c r="AL23" s="6">
        <f t="shared" ref="AL23:AL36" si="19">AL22+$K$5/20</f>
        <v>0.7</v>
      </c>
      <c r="AM23" s="6">
        <f t="shared" ref="AM23:AM36" si="20">$E$5*(1-(1-AL23/$K$5)^$M$5)</f>
        <v>28.874999999999996</v>
      </c>
      <c r="AN23" s="6">
        <f t="shared" ref="AN23:AN37" si="21">AM23*$N$10/$L$10</f>
        <v>16.362499999999997</v>
      </c>
      <c r="AO23" s="28"/>
      <c r="AP23" s="38" t="s">
        <v>17</v>
      </c>
      <c r="AQ23" s="48" t="s">
        <v>15</v>
      </c>
      <c r="AR23" s="84"/>
      <c r="AS23" s="38" t="s">
        <v>17</v>
      </c>
      <c r="AT23" s="48" t="s">
        <v>15</v>
      </c>
      <c r="AV23" s="30">
        <f t="shared" si="11"/>
        <v>2</v>
      </c>
      <c r="AW23" s="30">
        <f t="shared" si="0"/>
        <v>2.6582440902605593</v>
      </c>
      <c r="AX23" s="30">
        <f t="shared" si="1"/>
        <v>3.5</v>
      </c>
      <c r="AY23" s="30">
        <f t="shared" si="2"/>
        <v>9.6150221967684537</v>
      </c>
      <c r="AZ23" s="30">
        <f t="shared" si="3"/>
        <v>16.908086233063667</v>
      </c>
      <c r="BA23" s="30">
        <f t="shared" si="4"/>
        <v>59.216971501021312</v>
      </c>
    </row>
    <row r="24" spans="3:53" ht="18.75" thickTop="1" x14ac:dyDescent="0.25">
      <c r="C24" s="44" t="s">
        <v>109</v>
      </c>
      <c r="D24" s="142" t="str">
        <f>IF(H15="Column",IF(C26&lt;0.01,"Increase RFT",IF(C26&gt;0.04,"Decrease RFT","Pass")),IF(H15="Wall",IF(C26&lt;0.005,"Increase RFT",IF(C26&gt;0.04,"Decrease RFT","Pass"))))</f>
        <v>Pass</v>
      </c>
      <c r="E24" s="143"/>
      <c r="F24" s="45" t="s">
        <v>82</v>
      </c>
      <c r="G24" s="142" t="str">
        <f>IF(D21&lt;MIN(F15/2,G15/2,175,8*C18),"Pass","Decrease Spacing")</f>
        <v>Pass</v>
      </c>
      <c r="H24" s="143"/>
      <c r="I24" s="45" t="s">
        <v>113</v>
      </c>
      <c r="J24" s="142" t="str">
        <f>IF(I26&gt;0.08,"Pass","Adjust Detail")</f>
        <v>Pass</v>
      </c>
      <c r="K24" s="143"/>
      <c r="AB24" s="6">
        <f t="shared" si="12"/>
        <v>1.0632976361042237</v>
      </c>
      <c r="AC24" s="6">
        <f t="shared" si="5"/>
        <v>0.40000000000000008</v>
      </c>
      <c r="AD24" s="6">
        <f t="shared" si="6"/>
        <v>36.892017757414756</v>
      </c>
      <c r="AE24" s="6">
        <f t="shared" si="17"/>
        <v>20.905476729201695</v>
      </c>
      <c r="AF24" s="28"/>
      <c r="AG24" s="6">
        <f t="shared" si="14"/>
        <v>1.5373577200817048</v>
      </c>
      <c r="AH24" s="6">
        <f t="shared" si="7"/>
        <v>0.4</v>
      </c>
      <c r="AI24" s="6">
        <f t="shared" si="8"/>
        <v>40.990450756724485</v>
      </c>
      <c r="AJ24" s="6">
        <f t="shared" si="18"/>
        <v>23.227922095477208</v>
      </c>
      <c r="AK24" s="28"/>
      <c r="AL24" s="6">
        <f t="shared" si="19"/>
        <v>0.79999999999999993</v>
      </c>
      <c r="AM24" s="6">
        <f t="shared" si="20"/>
        <v>31.999999999999996</v>
      </c>
      <c r="AN24" s="6">
        <f t="shared" si="21"/>
        <v>18.133333333333329</v>
      </c>
      <c r="AO24" s="28"/>
      <c r="AP24" s="7">
        <f>AP15</f>
        <v>-45</v>
      </c>
      <c r="AQ24" s="7">
        <f>-D10/M10</f>
        <v>-434.78260869565219</v>
      </c>
      <c r="AR24" s="84"/>
      <c r="AS24" s="7">
        <f>-1*J10</f>
        <v>-45</v>
      </c>
      <c r="AT24" s="7">
        <f>-1*E10/M10</f>
        <v>-469.56521739130437</v>
      </c>
      <c r="AV24" s="30">
        <f t="shared" si="11"/>
        <v>2</v>
      </c>
      <c r="AW24" s="30">
        <f t="shared" si="0"/>
        <v>2.6582440902605593</v>
      </c>
      <c r="AX24" s="30">
        <f t="shared" si="1"/>
        <v>3.5</v>
      </c>
      <c r="AY24" s="30">
        <f t="shared" si="2"/>
        <v>9.6150221967684537</v>
      </c>
      <c r="AZ24" s="30">
        <f t="shared" si="3"/>
        <v>16.908086233063667</v>
      </c>
      <c r="BA24" s="30">
        <f t="shared" si="4"/>
        <v>59.216971501021312</v>
      </c>
    </row>
    <row r="25" spans="3:53" x14ac:dyDescent="0.25">
      <c r="C25" s="71" t="s">
        <v>57</v>
      </c>
      <c r="D25" s="142"/>
      <c r="E25" s="143"/>
      <c r="F25" s="6" t="s">
        <v>31</v>
      </c>
      <c r="G25" s="142"/>
      <c r="H25" s="143"/>
      <c r="I25" s="6" t="s">
        <v>14</v>
      </c>
      <c r="J25" s="142"/>
      <c r="K25" s="143"/>
      <c r="AB25" s="6">
        <f t="shared" si="12"/>
        <v>1.1962098406172517</v>
      </c>
      <c r="AC25" s="6">
        <f t="shared" si="5"/>
        <v>0.45000000000000007</v>
      </c>
      <c r="AD25" s="6">
        <f t="shared" si="6"/>
        <v>40.2065349778075</v>
      </c>
      <c r="AE25" s="6">
        <f t="shared" si="17"/>
        <v>22.783703154090915</v>
      </c>
      <c r="AF25" s="28"/>
      <c r="AG25" s="6">
        <f t="shared" si="14"/>
        <v>1.7295274350919179</v>
      </c>
      <c r="AH25" s="6">
        <f t="shared" si="7"/>
        <v>0.45</v>
      </c>
      <c r="AI25" s="6">
        <f t="shared" si="8"/>
        <v>44.174320056411212</v>
      </c>
      <c r="AJ25" s="6">
        <f t="shared" si="18"/>
        <v>25.03211469863302</v>
      </c>
      <c r="AK25" s="28"/>
      <c r="AL25" s="6">
        <f t="shared" si="19"/>
        <v>0.89999999999999991</v>
      </c>
      <c r="AM25" s="6">
        <f t="shared" si="20"/>
        <v>34.875</v>
      </c>
      <c r="AN25" s="6">
        <f t="shared" si="21"/>
        <v>19.762499999999999</v>
      </c>
      <c r="AO25" s="28"/>
      <c r="AP25" s="6">
        <f>-D10/M10/G10</f>
        <v>-2.1739130434782608</v>
      </c>
      <c r="AQ25" s="6">
        <f>AQ24</f>
        <v>-434.78260869565219</v>
      </c>
      <c r="AR25" s="84"/>
      <c r="AS25" s="6">
        <f>-1*D10/G10/M10</f>
        <v>-2.1739130434782612</v>
      </c>
      <c r="AT25" s="6">
        <f>-1*D10/M10</f>
        <v>-434.78260869565219</v>
      </c>
      <c r="AV25" s="30">
        <f t="shared" si="11"/>
        <v>2</v>
      </c>
      <c r="AW25" s="30">
        <f t="shared" si="0"/>
        <v>2.6582440902605593</v>
      </c>
      <c r="AX25" s="30">
        <f t="shared" si="1"/>
        <v>3.5</v>
      </c>
      <c r="AY25" s="30">
        <f t="shared" si="2"/>
        <v>9.6150221967684537</v>
      </c>
      <c r="AZ25" s="30">
        <f t="shared" si="3"/>
        <v>16.908086233063667</v>
      </c>
      <c r="BA25" s="30">
        <f t="shared" si="4"/>
        <v>59.216971501021312</v>
      </c>
    </row>
    <row r="26" spans="3:53" ht="15.75" thickBot="1" x14ac:dyDescent="0.3">
      <c r="C26" s="72">
        <f>IF(G18=1,C18^2*PI()/4*2*(F18+1)/(C15*D15),C18^2*PI()/4*(2*(F18+1)+2*G18)/(C15*D15))</f>
        <v>5.9573905134739777E-3</v>
      </c>
      <c r="D26" s="144"/>
      <c r="E26" s="145"/>
      <c r="F26" s="34">
        <f>D21</f>
        <v>100</v>
      </c>
      <c r="G26" s="144"/>
      <c r="H26" s="145"/>
      <c r="I26" s="34">
        <f>L21/100*AQ28/AN37</f>
        <v>9.3836657750922564E-2</v>
      </c>
      <c r="J26" s="144"/>
      <c r="K26" s="145"/>
      <c r="AB26" s="6">
        <f t="shared" si="12"/>
        <v>1.3291220451302797</v>
      </c>
      <c r="AC26" s="6">
        <f t="shared" si="5"/>
        <v>0.50000000000000011</v>
      </c>
      <c r="AD26" s="6">
        <f t="shared" si="6"/>
        <v>43.232833309470429</v>
      </c>
      <c r="AE26" s="6">
        <f t="shared" si="17"/>
        <v>24.498605542033243</v>
      </c>
      <c r="AF26" s="28"/>
      <c r="AG26" s="6">
        <f t="shared" si="14"/>
        <v>1.9216971501021309</v>
      </c>
      <c r="AH26" s="6">
        <f t="shared" si="7"/>
        <v>0.5</v>
      </c>
      <c r="AI26" s="6">
        <f t="shared" si="8"/>
        <v>47.002506130606029</v>
      </c>
      <c r="AJ26" s="6">
        <f t="shared" si="18"/>
        <v>26.634753474010083</v>
      </c>
      <c r="AK26" s="28"/>
      <c r="AL26" s="6">
        <f t="shared" si="19"/>
        <v>0.99999999999999989</v>
      </c>
      <c r="AM26" s="6">
        <f t="shared" si="20"/>
        <v>37.5</v>
      </c>
      <c r="AN26" s="6">
        <f t="shared" si="21"/>
        <v>21.25</v>
      </c>
      <c r="AO26" s="28"/>
      <c r="AP26" s="6">
        <v>0</v>
      </c>
      <c r="AQ26" s="6">
        <f>0</f>
        <v>0</v>
      </c>
      <c r="AR26" s="84"/>
      <c r="AS26" s="6">
        <f>0</f>
        <v>0</v>
      </c>
      <c r="AT26" s="6">
        <f>0</f>
        <v>0</v>
      </c>
      <c r="AV26" s="30">
        <f t="shared" si="11"/>
        <v>2</v>
      </c>
      <c r="AW26" s="30">
        <f t="shared" si="0"/>
        <v>2.6582440902605593</v>
      </c>
      <c r="AX26" s="30">
        <f t="shared" si="1"/>
        <v>3.5</v>
      </c>
      <c r="AY26" s="30">
        <f t="shared" si="2"/>
        <v>9.6150221967684537</v>
      </c>
      <c r="AZ26" s="30">
        <f t="shared" si="3"/>
        <v>16.908086233063667</v>
      </c>
      <c r="BA26" s="30">
        <f t="shared" si="4"/>
        <v>59.216971501021312</v>
      </c>
    </row>
    <row r="27" spans="3:53" ht="15.75" thickBot="1" x14ac:dyDescent="0.3">
      <c r="AB27" s="6">
        <f t="shared" si="12"/>
        <v>1.4620342496433076</v>
      </c>
      <c r="AC27" s="6">
        <f t="shared" si="5"/>
        <v>0.55000000000000016</v>
      </c>
      <c r="AD27" s="6">
        <f t="shared" si="6"/>
        <v>45.970912752403557</v>
      </c>
      <c r="AE27" s="6">
        <f t="shared" si="17"/>
        <v>26.050183893028684</v>
      </c>
      <c r="AF27" s="28"/>
      <c r="AG27" s="6">
        <f t="shared" si="14"/>
        <v>2.1138668651123442</v>
      </c>
      <c r="AH27" s="6">
        <f t="shared" si="7"/>
        <v>0.55000000000000004</v>
      </c>
      <c r="AI27" s="6">
        <f t="shared" si="8"/>
        <v>49.493354466753793</v>
      </c>
      <c r="AJ27" s="6">
        <f t="shared" si="18"/>
        <v>28.046234197827147</v>
      </c>
      <c r="AK27" s="28"/>
      <c r="AL27" s="6">
        <f t="shared" si="19"/>
        <v>1.0999999999999999</v>
      </c>
      <c r="AM27" s="6">
        <f t="shared" si="20"/>
        <v>39.874999999999993</v>
      </c>
      <c r="AN27" s="6">
        <f t="shared" si="21"/>
        <v>22.595833333333328</v>
      </c>
      <c r="AO27" s="28"/>
      <c r="AP27" s="6">
        <f>-AP25</f>
        <v>2.1739130434782608</v>
      </c>
      <c r="AQ27" s="6">
        <f>-AQ25</f>
        <v>434.78260869565219</v>
      </c>
      <c r="AR27" s="84"/>
      <c r="AS27" s="6">
        <f>D10/G10/M10</f>
        <v>2.1739130434782612</v>
      </c>
      <c r="AT27" s="6">
        <f>D10/M10</f>
        <v>434.78260869565219</v>
      </c>
      <c r="AV27" s="30">
        <f t="shared" si="11"/>
        <v>2</v>
      </c>
      <c r="AW27" s="30">
        <f t="shared" si="0"/>
        <v>2.6582440902605593</v>
      </c>
      <c r="AX27" s="30">
        <f t="shared" si="1"/>
        <v>3.5</v>
      </c>
      <c r="AY27" s="30">
        <f t="shared" si="2"/>
        <v>9.6150221967684537</v>
      </c>
      <c r="AZ27" s="30">
        <f t="shared" si="3"/>
        <v>16.908086233063667</v>
      </c>
      <c r="BA27" s="30">
        <f t="shared" si="4"/>
        <v>59.216971501021312</v>
      </c>
    </row>
    <row r="28" spans="3:53" x14ac:dyDescent="0.25">
      <c r="C28" s="129" t="s">
        <v>91</v>
      </c>
      <c r="D28" s="130"/>
      <c r="E28" s="130"/>
      <c r="F28" s="131"/>
      <c r="H28" s="129" t="s">
        <v>92</v>
      </c>
      <c r="I28" s="130"/>
      <c r="J28" s="130"/>
      <c r="K28" s="131"/>
      <c r="AB28" s="6">
        <f t="shared" si="12"/>
        <v>1.5949464541563356</v>
      </c>
      <c r="AC28" s="6">
        <f t="shared" si="5"/>
        <v>0.60000000000000009</v>
      </c>
      <c r="AD28" s="6">
        <f t="shared" si="6"/>
        <v>48.420773306606876</v>
      </c>
      <c r="AE28" s="6">
        <f t="shared" si="17"/>
        <v>27.43843820707723</v>
      </c>
      <c r="AF28" s="28"/>
      <c r="AG28" s="6">
        <f t="shared" si="14"/>
        <v>2.3060365801225573</v>
      </c>
      <c r="AH28" s="6">
        <f t="shared" si="7"/>
        <v>0.60000000000000009</v>
      </c>
      <c r="AI28" s="6">
        <f t="shared" si="8"/>
        <v>51.663970241228206</v>
      </c>
      <c r="AJ28" s="6">
        <f t="shared" si="18"/>
        <v>29.276249803362649</v>
      </c>
      <c r="AK28" s="28"/>
      <c r="AL28" s="6">
        <f t="shared" si="19"/>
        <v>1.2</v>
      </c>
      <c r="AM28" s="6">
        <f t="shared" si="20"/>
        <v>42</v>
      </c>
      <c r="AN28" s="6">
        <f t="shared" si="21"/>
        <v>23.799999999999997</v>
      </c>
      <c r="AO28" s="28"/>
      <c r="AP28" s="6">
        <f>-AP24</f>
        <v>45</v>
      </c>
      <c r="AQ28" s="6">
        <f>-AQ25</f>
        <v>434.78260869565219</v>
      </c>
      <c r="AR28" s="84"/>
      <c r="AS28" s="6">
        <f>J10</f>
        <v>45</v>
      </c>
      <c r="AT28" s="6">
        <f>E10/M10</f>
        <v>469.56521739130437</v>
      </c>
      <c r="AV28" s="30">
        <f t="shared" si="11"/>
        <v>2</v>
      </c>
      <c r="AW28" s="30">
        <f t="shared" si="0"/>
        <v>2.6582440902605593</v>
      </c>
      <c r="AX28" s="30">
        <f t="shared" si="1"/>
        <v>3.5</v>
      </c>
      <c r="AY28" s="30">
        <f t="shared" si="2"/>
        <v>9.6150221967684537</v>
      </c>
      <c r="AZ28" s="30">
        <f t="shared" si="3"/>
        <v>16.908086233063667</v>
      </c>
      <c r="BA28" s="30">
        <f t="shared" si="4"/>
        <v>59.216971501021312</v>
      </c>
    </row>
    <row r="29" spans="3:53" x14ac:dyDescent="0.25">
      <c r="C29" s="73" t="s">
        <v>61</v>
      </c>
      <c r="D29" s="3" t="s">
        <v>62</v>
      </c>
      <c r="E29" s="3" t="s">
        <v>63</v>
      </c>
      <c r="F29" s="74" t="s">
        <v>66</v>
      </c>
      <c r="H29" s="73" t="s">
        <v>61</v>
      </c>
      <c r="I29" s="3" t="s">
        <v>62</v>
      </c>
      <c r="J29" s="3" t="s">
        <v>63</v>
      </c>
      <c r="K29" s="74" t="s">
        <v>66</v>
      </c>
      <c r="AB29" s="6">
        <f t="shared" si="12"/>
        <v>1.7278586586693636</v>
      </c>
      <c r="AC29" s="6">
        <f t="shared" si="5"/>
        <v>0.65000000000000013</v>
      </c>
      <c r="AD29" s="6">
        <f t="shared" si="6"/>
        <v>50.5824149720804</v>
      </c>
      <c r="AE29" s="6">
        <f t="shared" si="17"/>
        <v>28.663368484178893</v>
      </c>
      <c r="AF29" s="28"/>
      <c r="AG29" s="6">
        <f t="shared" si="14"/>
        <v>2.4982062951327704</v>
      </c>
      <c r="AH29" s="6">
        <f t="shared" si="7"/>
        <v>0.65</v>
      </c>
      <c r="AI29" s="6">
        <f t="shared" si="8"/>
        <v>53.530321396586245</v>
      </c>
      <c r="AJ29" s="6">
        <f t="shared" si="18"/>
        <v>30.333848791398875</v>
      </c>
      <c r="AK29" s="28"/>
      <c r="AL29" s="6">
        <f t="shared" si="19"/>
        <v>1.3</v>
      </c>
      <c r="AM29" s="6">
        <f t="shared" si="20"/>
        <v>43.875</v>
      </c>
      <c r="AN29" s="6">
        <f t="shared" si="21"/>
        <v>24.862499999999997</v>
      </c>
      <c r="AO29" s="28"/>
      <c r="AV29" s="30">
        <f t="shared" si="11"/>
        <v>2</v>
      </c>
      <c r="AW29" s="30">
        <f t="shared" si="0"/>
        <v>2.6582440902605593</v>
      </c>
      <c r="AX29" s="30">
        <f t="shared" si="1"/>
        <v>3.5</v>
      </c>
      <c r="AY29" s="30">
        <f t="shared" si="2"/>
        <v>9.6150221967684537</v>
      </c>
      <c r="AZ29" s="30">
        <f t="shared" si="3"/>
        <v>16.908086233063667</v>
      </c>
      <c r="BA29" s="30">
        <f t="shared" si="4"/>
        <v>59.216971501021312</v>
      </c>
    </row>
    <row r="30" spans="3:53" ht="15.75" thickBot="1" x14ac:dyDescent="0.3">
      <c r="C30" s="75" t="s">
        <v>15</v>
      </c>
      <c r="D30" s="38" t="s">
        <v>17</v>
      </c>
      <c r="E30" s="38" t="s">
        <v>17</v>
      </c>
      <c r="F30" s="76" t="s">
        <v>15</v>
      </c>
      <c r="H30" s="75" t="s">
        <v>15</v>
      </c>
      <c r="I30" s="38" t="s">
        <v>17</v>
      </c>
      <c r="J30" s="38" t="s">
        <v>17</v>
      </c>
      <c r="K30" s="76" t="s">
        <v>15</v>
      </c>
      <c r="AB30" s="6">
        <f t="shared" si="12"/>
        <v>1.8607708631823916</v>
      </c>
      <c r="AC30" s="6">
        <f t="shared" si="5"/>
        <v>0.70000000000000018</v>
      </c>
      <c r="AD30" s="6">
        <f t="shared" si="6"/>
        <v>52.455837748824123</v>
      </c>
      <c r="AE30" s="6">
        <f t="shared" si="17"/>
        <v>29.724974724333666</v>
      </c>
      <c r="AF30" s="28"/>
      <c r="AG30" s="6">
        <f t="shared" si="14"/>
        <v>2.6903760101429834</v>
      </c>
      <c r="AH30" s="6">
        <f t="shared" si="7"/>
        <v>0.70000000000000007</v>
      </c>
      <c r="AI30" s="6">
        <f t="shared" si="8"/>
        <v>55.107331607286199</v>
      </c>
      <c r="AJ30" s="6">
        <f t="shared" si="18"/>
        <v>31.227487910795514</v>
      </c>
      <c r="AK30" s="28"/>
      <c r="AL30" s="6">
        <f t="shared" si="19"/>
        <v>1.4000000000000001</v>
      </c>
      <c r="AM30" s="6">
        <f t="shared" si="20"/>
        <v>45.5</v>
      </c>
      <c r="AN30" s="6">
        <f t="shared" si="21"/>
        <v>25.783333333333331</v>
      </c>
      <c r="AO30" s="28"/>
      <c r="AV30" s="30">
        <f t="shared" si="11"/>
        <v>2</v>
      </c>
      <c r="AW30" s="30">
        <f t="shared" si="0"/>
        <v>2.6582440902605593</v>
      </c>
      <c r="AX30" s="30">
        <f t="shared" si="1"/>
        <v>3.5</v>
      </c>
      <c r="AY30" s="30">
        <f t="shared" si="2"/>
        <v>9.6150221967684537</v>
      </c>
      <c r="AZ30" s="30">
        <f t="shared" si="3"/>
        <v>16.908086233063667</v>
      </c>
      <c r="BA30" s="30">
        <f t="shared" si="4"/>
        <v>59.216971501021312</v>
      </c>
    </row>
    <row r="31" spans="3:53" ht="15.75" customHeight="1" thickTop="1" thickBot="1" x14ac:dyDescent="0.3">
      <c r="C31" s="9">
        <f>IF(N21&lt;=0.05*E5,E5*(1+5*N21/E5),E5*(1.125+2.5*N21/E5))</f>
        <v>57.64377774596057</v>
      </c>
      <c r="D31" s="10">
        <f>K5*(C31/E5)^2</f>
        <v>2.6582440902605589</v>
      </c>
      <c r="E31" s="11">
        <f>L5+0.2*N21/E5*1000</f>
        <v>9.6150221967684537</v>
      </c>
      <c r="F31" s="14">
        <f>$N$10*C31/L10</f>
        <v>32.664807389377657</v>
      </c>
      <c r="H31" s="9">
        <f>$E$5*(1+3.7*(N21/E5)^0.86)</f>
        <v>59.216971501021312</v>
      </c>
      <c r="I31" s="10">
        <f>$K$5*(1+5*(H31/E5-1))</f>
        <v>3.8433943002042619</v>
      </c>
      <c r="J31" s="11">
        <f>(4/1000+0.5*N21/H31)*1000</f>
        <v>16.908086233063667</v>
      </c>
      <c r="K31" s="14">
        <f>H31*N10/L10</f>
        <v>33.556283850578744</v>
      </c>
      <c r="AB31" s="6">
        <f t="shared" si="12"/>
        <v>1.9936830676954196</v>
      </c>
      <c r="AC31" s="6">
        <f t="shared" si="5"/>
        <v>0.75000000000000022</v>
      </c>
      <c r="AD31" s="6">
        <f t="shared" si="6"/>
        <v>54.041041636838031</v>
      </c>
      <c r="AE31" s="6">
        <f t="shared" si="17"/>
        <v>30.623256927541551</v>
      </c>
      <c r="AF31" s="28"/>
      <c r="AG31" s="6">
        <f t="shared" si="14"/>
        <v>2.8825457251531965</v>
      </c>
      <c r="AH31" s="6">
        <f t="shared" si="7"/>
        <v>0.75</v>
      </c>
      <c r="AI31" s="6">
        <f t="shared" si="8"/>
        <v>56.408964272479665</v>
      </c>
      <c r="AJ31" s="6">
        <f t="shared" si="18"/>
        <v>31.965079754405142</v>
      </c>
      <c r="AK31" s="28"/>
      <c r="AL31" s="6">
        <f t="shared" si="19"/>
        <v>1.5000000000000002</v>
      </c>
      <c r="AM31" s="6">
        <f t="shared" si="20"/>
        <v>46.875</v>
      </c>
      <c r="AN31" s="6">
        <f t="shared" si="21"/>
        <v>26.5625</v>
      </c>
      <c r="AO31" s="28"/>
      <c r="AV31" s="30">
        <f t="shared" si="11"/>
        <v>2</v>
      </c>
      <c r="AW31" s="30">
        <f t="shared" si="0"/>
        <v>2.6582440902605593</v>
      </c>
      <c r="AX31" s="30">
        <f t="shared" si="1"/>
        <v>3.5</v>
      </c>
      <c r="AY31" s="30">
        <f t="shared" si="2"/>
        <v>9.6150221967684537</v>
      </c>
      <c r="AZ31" s="30">
        <f t="shared" si="3"/>
        <v>16.908086233063667</v>
      </c>
      <c r="BA31" s="30">
        <f t="shared" si="4"/>
        <v>59.216971501021312</v>
      </c>
    </row>
    <row r="32" spans="3:53" ht="15.75" customHeight="1" x14ac:dyDescent="0.25">
      <c r="AB32" s="6">
        <f t="shared" si="12"/>
        <v>2.1265952722084474</v>
      </c>
      <c r="AC32" s="6">
        <f t="shared" si="5"/>
        <v>0.80000000000000016</v>
      </c>
      <c r="AD32" s="6">
        <f t="shared" si="6"/>
        <v>55.338026636122144</v>
      </c>
      <c r="AE32" s="6">
        <f t="shared" ref="AE32:AE37" si="22">AD32*$N$10/$L$10</f>
        <v>31.358215093802546</v>
      </c>
      <c r="AF32" s="28"/>
      <c r="AG32" s="6">
        <f t="shared" si="14"/>
        <v>3.0747154401634096</v>
      </c>
      <c r="AH32" s="6">
        <f t="shared" si="7"/>
        <v>0.8</v>
      </c>
      <c r="AI32" s="6">
        <f t="shared" si="8"/>
        <v>57.448298530278578</v>
      </c>
      <c r="AJ32" s="6">
        <f t="shared" ref="AJ32:AJ37" si="23">AI32*$N$10/$L$10</f>
        <v>32.554035833824528</v>
      </c>
      <c r="AK32" s="28"/>
      <c r="AL32" s="6">
        <f t="shared" si="19"/>
        <v>1.6000000000000003</v>
      </c>
      <c r="AM32" s="6">
        <f t="shared" si="20"/>
        <v>48.000000000000007</v>
      </c>
      <c r="AN32" s="6">
        <f t="shared" si="21"/>
        <v>27.200000000000003</v>
      </c>
      <c r="AO32" s="28"/>
      <c r="AV32" s="30">
        <f t="shared" si="11"/>
        <v>2</v>
      </c>
      <c r="AW32" s="30">
        <f t="shared" si="0"/>
        <v>2.6582440902605593</v>
      </c>
      <c r="AX32" s="30">
        <f t="shared" si="1"/>
        <v>3.5</v>
      </c>
      <c r="AY32" s="30">
        <f t="shared" si="2"/>
        <v>9.6150221967684537</v>
      </c>
      <c r="AZ32" s="30">
        <f t="shared" si="3"/>
        <v>16.908086233063667</v>
      </c>
      <c r="BA32" s="30">
        <f t="shared" si="4"/>
        <v>59.216971501021312</v>
      </c>
    </row>
    <row r="33" spans="3:53" ht="15.75" customHeight="1" x14ac:dyDescent="0.25">
      <c r="AB33" s="6">
        <f t="shared" si="12"/>
        <v>2.2595074767214753</v>
      </c>
      <c r="AC33" s="6">
        <f t="shared" si="5"/>
        <v>0.85000000000000009</v>
      </c>
      <c r="AD33" s="6">
        <f t="shared" si="6"/>
        <v>56.346792746676456</v>
      </c>
      <c r="AE33" s="6">
        <f t="shared" si="22"/>
        <v>31.929849223116658</v>
      </c>
      <c r="AF33" s="28"/>
      <c r="AG33" s="6">
        <f t="shared" si="14"/>
        <v>3.2668851551736227</v>
      </c>
      <c r="AH33" s="6">
        <f t="shared" si="7"/>
        <v>0.85</v>
      </c>
      <c r="AI33" s="6">
        <f t="shared" si="8"/>
        <v>58.237598163915827</v>
      </c>
      <c r="AJ33" s="6">
        <f t="shared" si="23"/>
        <v>33.001305626218972</v>
      </c>
      <c r="AK33" s="28"/>
      <c r="AL33" s="6">
        <f t="shared" si="19"/>
        <v>1.7000000000000004</v>
      </c>
      <c r="AM33" s="6">
        <f t="shared" si="20"/>
        <v>48.875</v>
      </c>
      <c r="AN33" s="6">
        <f t="shared" si="21"/>
        <v>27.695833333333329</v>
      </c>
      <c r="AO33" s="28"/>
      <c r="AV33" s="30">
        <f t="shared" si="11"/>
        <v>2</v>
      </c>
      <c r="AW33" s="30">
        <f t="shared" si="0"/>
        <v>2.6582440902605593</v>
      </c>
      <c r="AX33" s="30">
        <f t="shared" si="1"/>
        <v>3.5</v>
      </c>
      <c r="AY33" s="30">
        <f t="shared" si="2"/>
        <v>9.6150221967684537</v>
      </c>
      <c r="AZ33" s="30">
        <f t="shared" si="3"/>
        <v>16.908086233063667</v>
      </c>
      <c r="BA33" s="30">
        <f t="shared" si="4"/>
        <v>59.216971501021312</v>
      </c>
    </row>
    <row r="34" spans="3:53" ht="16.5" customHeight="1" x14ac:dyDescent="0.25">
      <c r="AB34" s="6">
        <f t="shared" si="12"/>
        <v>2.3924196812345033</v>
      </c>
      <c r="AC34" s="6">
        <f t="shared" si="5"/>
        <v>0.90000000000000013</v>
      </c>
      <c r="AD34" s="6">
        <f t="shared" si="6"/>
        <v>57.067339968500967</v>
      </c>
      <c r="AE34" s="6">
        <f t="shared" si="22"/>
        <v>32.338159315483878</v>
      </c>
      <c r="AF34" s="28"/>
      <c r="AG34" s="6">
        <f t="shared" si="14"/>
        <v>3.4590548701838357</v>
      </c>
      <c r="AH34" s="6">
        <f t="shared" si="7"/>
        <v>0.9</v>
      </c>
      <c r="AI34" s="6">
        <f t="shared" si="8"/>
        <v>58.788374163359563</v>
      </c>
      <c r="AJ34" s="6">
        <f t="shared" si="23"/>
        <v>33.313412025903752</v>
      </c>
      <c r="AK34" s="28"/>
      <c r="AL34" s="6">
        <f t="shared" si="19"/>
        <v>1.8000000000000005</v>
      </c>
      <c r="AM34" s="6">
        <f t="shared" si="20"/>
        <v>49.500000000000007</v>
      </c>
      <c r="AN34" s="6">
        <f t="shared" si="21"/>
        <v>28.05</v>
      </c>
      <c r="AO34" s="28"/>
      <c r="AV34" s="30">
        <f t="shared" si="11"/>
        <v>2</v>
      </c>
      <c r="AW34" s="30">
        <f t="shared" si="0"/>
        <v>2.6582440902605593</v>
      </c>
      <c r="AX34" s="30">
        <f t="shared" si="1"/>
        <v>3.5</v>
      </c>
      <c r="AY34" s="30">
        <f t="shared" si="2"/>
        <v>9.6150221967684537</v>
      </c>
      <c r="AZ34" s="30">
        <f t="shared" si="3"/>
        <v>16.908086233063667</v>
      </c>
      <c r="BA34" s="30">
        <f t="shared" si="4"/>
        <v>59.216971501021312</v>
      </c>
    </row>
    <row r="35" spans="3:53" x14ac:dyDescent="0.25">
      <c r="AB35" s="6">
        <f t="shared" si="12"/>
        <v>2.5253318857475313</v>
      </c>
      <c r="AC35" s="6">
        <f t="shared" si="5"/>
        <v>0.95000000000000018</v>
      </c>
      <c r="AD35" s="6">
        <f t="shared" si="6"/>
        <v>57.499668301595662</v>
      </c>
      <c r="AE35" s="6">
        <f t="shared" si="22"/>
        <v>32.583145370904212</v>
      </c>
      <c r="AF35" s="28"/>
      <c r="AG35" s="6">
        <f t="shared" si="14"/>
        <v>3.6512245851940488</v>
      </c>
      <c r="AH35" s="6">
        <f t="shared" si="7"/>
        <v>0.95</v>
      </c>
      <c r="AI35" s="6">
        <f t="shared" si="8"/>
        <v>59.111441613618211</v>
      </c>
      <c r="AJ35" s="6">
        <f t="shared" si="23"/>
        <v>33.49648358105032</v>
      </c>
      <c r="AK35" s="28"/>
      <c r="AL35" s="6">
        <f t="shared" si="19"/>
        <v>1.9000000000000006</v>
      </c>
      <c r="AM35" s="6">
        <f t="shared" si="20"/>
        <v>49.875</v>
      </c>
      <c r="AN35" s="6">
        <f t="shared" si="21"/>
        <v>28.262499999999999</v>
      </c>
      <c r="AO35" s="28"/>
      <c r="AV35" s="30">
        <f t="shared" si="11"/>
        <v>2</v>
      </c>
      <c r="AW35" s="30">
        <f t="shared" si="0"/>
        <v>2.6582440902605593</v>
      </c>
      <c r="AX35" s="30">
        <f t="shared" si="1"/>
        <v>3.5</v>
      </c>
      <c r="AY35" s="30">
        <f t="shared" si="2"/>
        <v>9.6150221967684537</v>
      </c>
      <c r="AZ35" s="30">
        <f t="shared" si="3"/>
        <v>16.908086233063667</v>
      </c>
      <c r="BA35" s="30">
        <f t="shared" si="4"/>
        <v>59.216971501021312</v>
      </c>
    </row>
    <row r="36" spans="3:53" ht="15.75" thickBot="1" x14ac:dyDescent="0.3">
      <c r="AB36" s="12">
        <f t="shared" si="12"/>
        <v>2.6582440902605593</v>
      </c>
      <c r="AC36" s="6">
        <f t="shared" si="5"/>
        <v>1.0000000000000002</v>
      </c>
      <c r="AD36" s="6">
        <f t="shared" si="6"/>
        <v>57.64377774596057</v>
      </c>
      <c r="AE36" s="6">
        <f t="shared" si="22"/>
        <v>32.664807389377657</v>
      </c>
      <c r="AF36" s="28"/>
      <c r="AG36" s="12">
        <f t="shared" si="14"/>
        <v>3.8433943002042619</v>
      </c>
      <c r="AH36" s="6">
        <f t="shared" si="7"/>
        <v>1</v>
      </c>
      <c r="AI36" s="6">
        <f t="shared" si="8"/>
        <v>59.216971501021312</v>
      </c>
      <c r="AJ36" s="6">
        <f t="shared" si="23"/>
        <v>33.556283850578744</v>
      </c>
      <c r="AK36" s="28"/>
      <c r="AL36" s="15">
        <f t="shared" si="19"/>
        <v>2.0000000000000004</v>
      </c>
      <c r="AM36" s="6">
        <f t="shared" si="20"/>
        <v>50</v>
      </c>
      <c r="AN36" s="6">
        <f t="shared" si="21"/>
        <v>28.333333333333332</v>
      </c>
      <c r="AO36" s="28"/>
      <c r="AV36" s="30">
        <f t="shared" si="11"/>
        <v>2</v>
      </c>
      <c r="AW36" s="30">
        <f t="shared" si="0"/>
        <v>2.6582440902605593</v>
      </c>
      <c r="AX36" s="30">
        <f t="shared" si="1"/>
        <v>3.5</v>
      </c>
      <c r="AY36" s="30">
        <f t="shared" si="2"/>
        <v>9.6150221967684537</v>
      </c>
      <c r="AZ36" s="30">
        <f t="shared" si="3"/>
        <v>16.908086233063667</v>
      </c>
      <c r="BA36" s="30">
        <f t="shared" si="4"/>
        <v>59.216971501021312</v>
      </c>
    </row>
    <row r="37" spans="3:53" ht="18" customHeight="1" x14ac:dyDescent="0.25">
      <c r="C37" s="123" t="s">
        <v>94</v>
      </c>
      <c r="D37" s="124"/>
      <c r="E37" s="124"/>
      <c r="F37" s="124"/>
      <c r="G37" s="124"/>
      <c r="H37" s="124"/>
      <c r="I37" s="124"/>
      <c r="J37" s="124"/>
      <c r="K37" s="124"/>
      <c r="L37" s="124"/>
      <c r="M37" s="125"/>
      <c r="AB37" s="13">
        <f>E31</f>
        <v>9.6150221967684537</v>
      </c>
      <c r="AC37" s="6">
        <v>0</v>
      </c>
      <c r="AD37" s="6">
        <f>0.85*$AD$36</f>
        <v>48.997211084066485</v>
      </c>
      <c r="AE37" s="6">
        <f t="shared" si="22"/>
        <v>27.765086280971008</v>
      </c>
      <c r="AF37" s="28"/>
      <c r="AG37" s="13">
        <f>J31</f>
        <v>16.908086233063667</v>
      </c>
      <c r="AH37" s="6">
        <v>0</v>
      </c>
      <c r="AI37" s="6">
        <f>0.85*AI36</f>
        <v>50.334425775868112</v>
      </c>
      <c r="AJ37" s="6">
        <f t="shared" si="23"/>
        <v>28.522841272991929</v>
      </c>
      <c r="AK37" s="28"/>
      <c r="AL37" s="16">
        <f>L5</f>
        <v>3.5</v>
      </c>
      <c r="AM37" s="6">
        <f>E5</f>
        <v>50</v>
      </c>
      <c r="AN37" s="6">
        <f t="shared" si="21"/>
        <v>28.333333333333332</v>
      </c>
      <c r="AO37" s="28"/>
      <c r="AV37" s="30">
        <f t="shared" si="11"/>
        <v>2</v>
      </c>
      <c r="AW37" s="30">
        <f t="shared" si="0"/>
        <v>2.6582440902605593</v>
      </c>
      <c r="AX37" s="30">
        <f t="shared" si="1"/>
        <v>3.5</v>
      </c>
      <c r="AY37" s="30">
        <f t="shared" si="2"/>
        <v>9.6150221967684537</v>
      </c>
      <c r="AZ37" s="30">
        <f t="shared" si="3"/>
        <v>16.908086233063667</v>
      </c>
      <c r="BA37" s="30">
        <f t="shared" si="4"/>
        <v>59.216971501021312</v>
      </c>
    </row>
    <row r="38" spans="3:53" ht="15.75" customHeight="1" thickBot="1" x14ac:dyDescent="0.3">
      <c r="C38" s="126"/>
      <c r="D38" s="127"/>
      <c r="E38" s="127"/>
      <c r="F38" s="127"/>
      <c r="G38" s="127"/>
      <c r="H38" s="127"/>
      <c r="I38" s="127"/>
      <c r="J38" s="127"/>
      <c r="K38" s="127"/>
      <c r="L38" s="127"/>
      <c r="M38" s="128"/>
      <c r="AF38" s="28"/>
      <c r="AK38" s="28"/>
      <c r="AO38" s="28"/>
    </row>
    <row r="39" spans="3:53" ht="15.75" x14ac:dyDescent="0.25">
      <c r="C39" s="119" t="s">
        <v>89</v>
      </c>
      <c r="D39" s="120"/>
      <c r="E39" s="77"/>
      <c r="F39" s="119" t="s">
        <v>93</v>
      </c>
      <c r="G39" s="120"/>
      <c r="H39" s="78"/>
      <c r="I39" s="119" t="s">
        <v>90</v>
      </c>
      <c r="J39" s="120"/>
      <c r="L39" s="148" t="s">
        <v>131</v>
      </c>
      <c r="M39" s="149"/>
      <c r="AF39" s="28"/>
      <c r="AK39" s="28"/>
      <c r="AO39" s="28"/>
    </row>
    <row r="40" spans="3:53" ht="15.75" x14ac:dyDescent="0.25">
      <c r="C40" s="121"/>
      <c r="D40" s="122"/>
      <c r="E40" s="77"/>
      <c r="F40" s="121"/>
      <c r="G40" s="122"/>
      <c r="H40" s="78"/>
      <c r="I40" s="121"/>
      <c r="J40" s="122"/>
      <c r="L40" s="150"/>
      <c r="M40" s="151"/>
      <c r="AF40" s="28"/>
      <c r="AK40" s="28"/>
      <c r="AO40" s="28"/>
    </row>
    <row r="41" spans="3:53" ht="18.75" thickBot="1" x14ac:dyDescent="0.3">
      <c r="C41" s="79" t="s">
        <v>34</v>
      </c>
      <c r="D41" s="80" t="s">
        <v>75</v>
      </c>
      <c r="F41" s="79" t="s">
        <v>34</v>
      </c>
      <c r="G41" s="80" t="s">
        <v>75</v>
      </c>
      <c r="I41" s="79" t="s">
        <v>34</v>
      </c>
      <c r="J41" s="80" t="s">
        <v>76</v>
      </c>
      <c r="L41" s="79" t="s">
        <v>34</v>
      </c>
      <c r="M41" s="80" t="s">
        <v>77</v>
      </c>
      <c r="AF41" s="28"/>
      <c r="AK41" s="28"/>
      <c r="AO41" s="28"/>
    </row>
    <row r="42" spans="3:53" ht="15.75" thickTop="1" x14ac:dyDescent="0.25">
      <c r="C42" s="81" t="s">
        <v>17</v>
      </c>
      <c r="D42" s="82" t="s">
        <v>79</v>
      </c>
      <c r="F42" s="81" t="s">
        <v>17</v>
      </c>
      <c r="G42" s="82" t="s">
        <v>79</v>
      </c>
      <c r="I42" s="81" t="s">
        <v>17</v>
      </c>
      <c r="J42" s="82" t="s">
        <v>79</v>
      </c>
      <c r="L42" s="81" t="s">
        <v>17</v>
      </c>
      <c r="M42" s="82" t="s">
        <v>15</v>
      </c>
      <c r="AF42" s="28"/>
      <c r="AK42" s="28"/>
      <c r="AO42" s="28"/>
    </row>
    <row r="43" spans="3:53" x14ac:dyDescent="0.25">
      <c r="C43" s="17">
        <f t="shared" ref="C43:C65" si="24">AB15/-1000</f>
        <v>1E-4</v>
      </c>
      <c r="D43" s="18">
        <f t="shared" ref="D43:D65" si="25">-1*AE15*1000</f>
        <v>100</v>
      </c>
      <c r="F43" s="17">
        <f t="shared" ref="F43:F65" si="26">AG15/-1000</f>
        <v>1E-4</v>
      </c>
      <c r="G43" s="18">
        <f t="shared" ref="G43:G65" si="27">-1*AJ15*1000</f>
        <v>100</v>
      </c>
      <c r="I43" s="17">
        <f t="shared" ref="I43:I65" si="28">AL15/-1000</f>
        <v>1E-4</v>
      </c>
      <c r="J43" s="18">
        <f t="shared" ref="J43:J65" si="29">-1*AN15*1000</f>
        <v>100</v>
      </c>
      <c r="L43" s="17">
        <f>AP24/1000</f>
        <v>-4.4999999999999998E-2</v>
      </c>
      <c r="M43" s="18">
        <f>AQ24*1000</f>
        <v>-434782.60869565216</v>
      </c>
      <c r="AF43" s="28"/>
      <c r="AK43" s="28"/>
      <c r="AO43" s="28"/>
    </row>
    <row r="44" spans="3:53" x14ac:dyDescent="0.25">
      <c r="C44" s="17">
        <f t="shared" si="24"/>
        <v>0</v>
      </c>
      <c r="D44" s="18">
        <f t="shared" si="25"/>
        <v>0</v>
      </c>
      <c r="F44" s="17">
        <f t="shared" si="26"/>
        <v>0</v>
      </c>
      <c r="G44" s="18">
        <f t="shared" si="27"/>
        <v>0</v>
      </c>
      <c r="I44" s="17">
        <f t="shared" si="28"/>
        <v>0</v>
      </c>
      <c r="J44" s="18">
        <f t="shared" si="29"/>
        <v>0</v>
      </c>
      <c r="L44" s="17">
        <f>AP25/1000</f>
        <v>-2.1739130434782609E-3</v>
      </c>
      <c r="M44" s="18">
        <f>AQ25*1000</f>
        <v>-434782.60869565216</v>
      </c>
      <c r="AF44" s="28"/>
      <c r="AK44" s="28"/>
      <c r="AO44" s="28"/>
    </row>
    <row r="45" spans="3:53" x14ac:dyDescent="0.25">
      <c r="C45" s="17">
        <f t="shared" si="24"/>
        <v>-1.3291220451302794E-4</v>
      </c>
      <c r="D45" s="18">
        <f t="shared" si="25"/>
        <v>-3184.8187204643223</v>
      </c>
      <c r="F45" s="17">
        <f t="shared" si="26"/>
        <v>-1.921697150102131E-4</v>
      </c>
      <c r="G45" s="18">
        <f t="shared" si="27"/>
        <v>-3900.5154368602357</v>
      </c>
      <c r="I45" s="17">
        <f t="shared" si="28"/>
        <v>-1E-4</v>
      </c>
      <c r="J45" s="18">
        <f t="shared" si="29"/>
        <v>-2762.5000000000009</v>
      </c>
      <c r="L45" s="17">
        <f>AP26/1000</f>
        <v>0</v>
      </c>
      <c r="M45" s="18">
        <f>AQ26*1000</f>
        <v>0</v>
      </c>
      <c r="AF45" s="28"/>
      <c r="AK45" s="28"/>
      <c r="AO45" s="28"/>
    </row>
    <row r="46" spans="3:53" x14ac:dyDescent="0.25">
      <c r="C46" s="17">
        <f t="shared" si="24"/>
        <v>-2.6582440902605587E-4</v>
      </c>
      <c r="D46" s="18">
        <f t="shared" si="25"/>
        <v>-6206.3134039817523</v>
      </c>
      <c r="F46" s="17">
        <f t="shared" si="26"/>
        <v>-3.843394300204262E-4</v>
      </c>
      <c r="G46" s="18">
        <f t="shared" si="27"/>
        <v>-7481.4016528907769</v>
      </c>
      <c r="I46" s="17">
        <f t="shared" si="28"/>
        <v>-2.0000000000000001E-4</v>
      </c>
      <c r="J46" s="18">
        <f t="shared" si="29"/>
        <v>-5383.3333333333321</v>
      </c>
      <c r="L46" s="17">
        <f>AP27/1000</f>
        <v>2.1739130434782609E-3</v>
      </c>
      <c r="M46" s="18">
        <f>AQ27*1000</f>
        <v>434782.60869565216</v>
      </c>
      <c r="AF46" s="28"/>
      <c r="AK46" s="28"/>
      <c r="AL46" s="28"/>
      <c r="AM46" s="28"/>
      <c r="AN46" s="28"/>
      <c r="AO46" s="28"/>
    </row>
    <row r="47" spans="3:53" ht="15.75" thickBot="1" x14ac:dyDescent="0.3">
      <c r="C47" s="17">
        <f t="shared" si="24"/>
        <v>-3.9873661353908381E-4</v>
      </c>
      <c r="D47" s="18">
        <f t="shared" si="25"/>
        <v>-9064.4840505522952</v>
      </c>
      <c r="F47" s="17">
        <f t="shared" si="26"/>
        <v>-5.7650914503063931E-4</v>
      </c>
      <c r="G47" s="18">
        <f t="shared" si="27"/>
        <v>-10761.773646947888</v>
      </c>
      <c r="I47" s="17">
        <f t="shared" si="28"/>
        <v>-3.0000000000000003E-4</v>
      </c>
      <c r="J47" s="18">
        <f t="shared" si="29"/>
        <v>-7862.5000000000018</v>
      </c>
      <c r="L47" s="19">
        <f>AP28/1000</f>
        <v>4.4999999999999998E-2</v>
      </c>
      <c r="M47" s="20">
        <f>AQ28*1000</f>
        <v>434782.60869565216</v>
      </c>
    </row>
    <row r="48" spans="3:53" ht="15.75" thickBot="1" x14ac:dyDescent="0.3">
      <c r="C48" s="17">
        <f t="shared" si="24"/>
        <v>-5.3164881805211174E-4</v>
      </c>
      <c r="D48" s="18">
        <f t="shared" si="25"/>
        <v>-11759.330660175954</v>
      </c>
      <c r="F48" s="17">
        <f t="shared" si="26"/>
        <v>-7.6867886004085241E-4</v>
      </c>
      <c r="G48" s="18">
        <f t="shared" si="27"/>
        <v>-13759.25201221506</v>
      </c>
      <c r="I48" s="17">
        <f t="shared" si="28"/>
        <v>-4.0000000000000002E-4</v>
      </c>
      <c r="J48" s="18">
        <f t="shared" si="29"/>
        <v>-10199.999999999996</v>
      </c>
    </row>
    <row r="49" spans="3:13" x14ac:dyDescent="0.25">
      <c r="C49" s="17">
        <f t="shared" si="24"/>
        <v>-6.6456102256513968E-4</v>
      </c>
      <c r="D49" s="18">
        <f t="shared" si="25"/>
        <v>-14290.853232852724</v>
      </c>
      <c r="F49" s="17">
        <f t="shared" si="26"/>
        <v>-9.6084857505106551E-4</v>
      </c>
      <c r="G49" s="18">
        <f t="shared" si="27"/>
        <v>-16490.106176884972</v>
      </c>
      <c r="I49" s="17">
        <f t="shared" si="28"/>
        <v>-5.0000000000000001E-4</v>
      </c>
      <c r="J49" s="18">
        <f t="shared" si="29"/>
        <v>-12395.833333333334</v>
      </c>
      <c r="L49" s="148" t="s">
        <v>132</v>
      </c>
      <c r="M49" s="149"/>
    </row>
    <row r="50" spans="3:13" x14ac:dyDescent="0.25">
      <c r="C50" s="17">
        <f t="shared" si="24"/>
        <v>-7.9747322707816772E-4</v>
      </c>
      <c r="D50" s="18">
        <f t="shared" si="25"/>
        <v>-16659.051768582605</v>
      </c>
      <c r="F50" s="17">
        <f t="shared" si="26"/>
        <v>-1.1530182900612786E-3</v>
      </c>
      <c r="G50" s="18">
        <f t="shared" si="27"/>
        <v>-18969.381478983447</v>
      </c>
      <c r="I50" s="17">
        <f t="shared" si="28"/>
        <v>-5.9999999999999995E-4</v>
      </c>
      <c r="J50" s="18">
        <f t="shared" si="29"/>
        <v>-14450.000000000002</v>
      </c>
      <c r="L50" s="150"/>
      <c r="M50" s="151"/>
    </row>
    <row r="51" spans="3:13" ht="18.75" thickBot="1" x14ac:dyDescent="0.3">
      <c r="C51" s="17">
        <f t="shared" si="24"/>
        <v>-9.3038543159119566E-4</v>
      </c>
      <c r="D51" s="18">
        <f t="shared" si="25"/>
        <v>-18863.92626736559</v>
      </c>
      <c r="F51" s="17">
        <f t="shared" si="26"/>
        <v>-1.3451880050714918E-3</v>
      </c>
      <c r="G51" s="18">
        <f t="shared" si="27"/>
        <v>-21211.012164558801</v>
      </c>
      <c r="I51" s="17">
        <f t="shared" si="28"/>
        <v>-6.9999999999999999E-4</v>
      </c>
      <c r="J51" s="18">
        <f t="shared" si="29"/>
        <v>-16362.499999999996</v>
      </c>
      <c r="L51" s="79" t="s">
        <v>34</v>
      </c>
      <c r="M51" s="80" t="s">
        <v>77</v>
      </c>
    </row>
    <row r="52" spans="3:13" ht="15.75" thickTop="1" x14ac:dyDescent="0.25">
      <c r="C52" s="17">
        <f t="shared" si="24"/>
        <v>-1.0632976361042237E-3</v>
      </c>
      <c r="D52" s="18">
        <f t="shared" si="25"/>
        <v>-20905.476729201695</v>
      </c>
      <c r="F52" s="17">
        <f t="shared" si="26"/>
        <v>-1.5373577200817048E-3</v>
      </c>
      <c r="G52" s="18">
        <f t="shared" si="27"/>
        <v>-23227.922095477206</v>
      </c>
      <c r="I52" s="17">
        <f t="shared" si="28"/>
        <v>-7.9999999999999993E-4</v>
      </c>
      <c r="J52" s="18">
        <f t="shared" si="29"/>
        <v>-18133.333333333328</v>
      </c>
      <c r="L52" s="81" t="s">
        <v>17</v>
      </c>
      <c r="M52" s="82" t="s">
        <v>15</v>
      </c>
    </row>
    <row r="53" spans="3:13" x14ac:dyDescent="0.25">
      <c r="C53" s="17">
        <f t="shared" si="24"/>
        <v>-1.1962098406172517E-3</v>
      </c>
      <c r="D53" s="18">
        <f t="shared" si="25"/>
        <v>-22783.703154090916</v>
      </c>
      <c r="F53" s="17">
        <f t="shared" si="26"/>
        <v>-1.7295274350919178E-3</v>
      </c>
      <c r="G53" s="18">
        <f t="shared" si="27"/>
        <v>-25032.11469863302</v>
      </c>
      <c r="I53" s="17">
        <f t="shared" si="28"/>
        <v>-8.9999999999999987E-4</v>
      </c>
      <c r="J53" s="18">
        <f t="shared" si="29"/>
        <v>-19762.5</v>
      </c>
      <c r="L53" s="17">
        <f>AS24/1000</f>
        <v>-4.4999999999999998E-2</v>
      </c>
      <c r="M53" s="18">
        <f>AT24*1000</f>
        <v>-469565.21739130438</v>
      </c>
    </row>
    <row r="54" spans="3:13" x14ac:dyDescent="0.25">
      <c r="C54" s="17">
        <f t="shared" si="24"/>
        <v>-1.3291220451302796E-3</v>
      </c>
      <c r="D54" s="18">
        <f t="shared" si="25"/>
        <v>-24498.605542033241</v>
      </c>
      <c r="F54" s="17">
        <f t="shared" si="26"/>
        <v>-1.921697150102131E-3</v>
      </c>
      <c r="G54" s="18">
        <f t="shared" si="27"/>
        <v>-26634.753474010082</v>
      </c>
      <c r="I54" s="17">
        <f t="shared" si="28"/>
        <v>-9.999999999999998E-4</v>
      </c>
      <c r="J54" s="18">
        <f t="shared" si="29"/>
        <v>-21250</v>
      </c>
      <c r="L54" s="17">
        <f t="shared" ref="L54:L57" si="30">AS25/1000</f>
        <v>-2.1739130434782613E-3</v>
      </c>
      <c r="M54" s="18">
        <f t="shared" ref="M54:M57" si="31">AT25*1000</f>
        <v>-434782.60869565216</v>
      </c>
    </row>
    <row r="55" spans="3:13" x14ac:dyDescent="0.25">
      <c r="C55" s="17">
        <f t="shared" si="24"/>
        <v>-1.4620342496433076E-3</v>
      </c>
      <c r="D55" s="18">
        <f t="shared" si="25"/>
        <v>-26050.183893028683</v>
      </c>
      <c r="F55" s="17">
        <f t="shared" si="26"/>
        <v>-2.1138668651123444E-3</v>
      </c>
      <c r="G55" s="18">
        <f t="shared" si="27"/>
        <v>-28046.234197827147</v>
      </c>
      <c r="I55" s="17">
        <f t="shared" si="28"/>
        <v>-1.0999999999999998E-3</v>
      </c>
      <c r="J55" s="18">
        <f t="shared" si="29"/>
        <v>-22595.833333333328</v>
      </c>
      <c r="L55" s="17">
        <f t="shared" si="30"/>
        <v>0</v>
      </c>
      <c r="M55" s="18">
        <f t="shared" si="31"/>
        <v>0</v>
      </c>
    </row>
    <row r="56" spans="3:13" x14ac:dyDescent="0.25">
      <c r="C56" s="17">
        <f t="shared" si="24"/>
        <v>-1.5949464541563357E-3</v>
      </c>
      <c r="D56" s="18">
        <f t="shared" si="25"/>
        <v>-27438.43820707723</v>
      </c>
      <c r="F56" s="17">
        <f t="shared" si="26"/>
        <v>-2.3060365801225572E-3</v>
      </c>
      <c r="G56" s="18">
        <f t="shared" si="27"/>
        <v>-29276.249803362651</v>
      </c>
      <c r="I56" s="17">
        <f t="shared" si="28"/>
        <v>-1.1999999999999999E-3</v>
      </c>
      <c r="J56" s="18">
        <f t="shared" si="29"/>
        <v>-23799.999999999996</v>
      </c>
      <c r="L56" s="17">
        <f t="shared" si="30"/>
        <v>2.1739130434782613E-3</v>
      </c>
      <c r="M56" s="18">
        <f t="shared" si="31"/>
        <v>434782.60869565216</v>
      </c>
    </row>
    <row r="57" spans="3:13" ht="15.75" thickBot="1" x14ac:dyDescent="0.3">
      <c r="C57" s="17">
        <f t="shared" si="24"/>
        <v>-1.7278586586693637E-3</v>
      </c>
      <c r="D57" s="18">
        <f t="shared" si="25"/>
        <v>-28663.368484178893</v>
      </c>
      <c r="F57" s="17">
        <f t="shared" si="26"/>
        <v>-2.4982062951327704E-3</v>
      </c>
      <c r="G57" s="18">
        <f t="shared" si="27"/>
        <v>-30333.848791398876</v>
      </c>
      <c r="I57" s="17">
        <f t="shared" si="28"/>
        <v>-1.2999999999999999E-3</v>
      </c>
      <c r="J57" s="18">
        <f t="shared" si="29"/>
        <v>-24862.499999999996</v>
      </c>
      <c r="L57" s="19">
        <f t="shared" si="30"/>
        <v>4.4999999999999998E-2</v>
      </c>
      <c r="M57" s="20">
        <f t="shared" si="31"/>
        <v>469565.21739130438</v>
      </c>
    </row>
    <row r="58" spans="3:13" x14ac:dyDescent="0.25">
      <c r="C58" s="17">
        <f t="shared" si="24"/>
        <v>-1.8607708631823915E-3</v>
      </c>
      <c r="D58" s="18">
        <f t="shared" si="25"/>
        <v>-29724.974724333668</v>
      </c>
      <c r="F58" s="17">
        <f t="shared" si="26"/>
        <v>-2.6903760101429836E-3</v>
      </c>
      <c r="G58" s="18">
        <f t="shared" si="27"/>
        <v>-31227.487910795513</v>
      </c>
      <c r="I58" s="17">
        <f t="shared" si="28"/>
        <v>-1.4000000000000002E-3</v>
      </c>
      <c r="J58" s="18">
        <f t="shared" si="29"/>
        <v>-25783.333333333332</v>
      </c>
    </row>
    <row r="59" spans="3:13" x14ac:dyDescent="0.25">
      <c r="C59" s="17">
        <f t="shared" si="24"/>
        <v>-1.9936830676954196E-3</v>
      </c>
      <c r="D59" s="18">
        <f t="shared" si="25"/>
        <v>-30623.256927541552</v>
      </c>
      <c r="F59" s="17">
        <f t="shared" si="26"/>
        <v>-2.8825457251531964E-3</v>
      </c>
      <c r="G59" s="18">
        <f t="shared" si="27"/>
        <v>-31965.079754405142</v>
      </c>
      <c r="I59" s="17">
        <f t="shared" si="28"/>
        <v>-1.5000000000000002E-3</v>
      </c>
      <c r="J59" s="18">
        <f t="shared" si="29"/>
        <v>-26562.5</v>
      </c>
    </row>
    <row r="60" spans="3:13" x14ac:dyDescent="0.25">
      <c r="C60" s="17">
        <f t="shared" si="24"/>
        <v>-2.1265952722084474E-3</v>
      </c>
      <c r="D60" s="18">
        <f t="shared" si="25"/>
        <v>-31358.215093802544</v>
      </c>
      <c r="F60" s="17">
        <f t="shared" si="26"/>
        <v>-3.0747154401634096E-3</v>
      </c>
      <c r="G60" s="18">
        <f t="shared" si="27"/>
        <v>-32554.035833824528</v>
      </c>
      <c r="I60" s="17">
        <f t="shared" si="28"/>
        <v>-1.6000000000000003E-3</v>
      </c>
      <c r="J60" s="18">
        <f t="shared" si="29"/>
        <v>-27200.000000000004</v>
      </c>
    </row>
    <row r="61" spans="3:13" x14ac:dyDescent="0.25">
      <c r="C61" s="17">
        <f t="shared" si="24"/>
        <v>-2.2595074767214752E-3</v>
      </c>
      <c r="D61" s="18">
        <f t="shared" si="25"/>
        <v>-31929.84922311666</v>
      </c>
      <c r="F61" s="17">
        <f t="shared" si="26"/>
        <v>-3.2668851551736228E-3</v>
      </c>
      <c r="G61" s="18">
        <f t="shared" si="27"/>
        <v>-33001.305626218971</v>
      </c>
      <c r="I61" s="17">
        <f t="shared" si="28"/>
        <v>-1.7000000000000003E-3</v>
      </c>
      <c r="J61" s="18">
        <f t="shared" si="29"/>
        <v>-27695.833333333328</v>
      </c>
    </row>
    <row r="62" spans="3:13" x14ac:dyDescent="0.25">
      <c r="C62" s="17">
        <f t="shared" si="24"/>
        <v>-2.3924196812345035E-3</v>
      </c>
      <c r="D62" s="18">
        <f t="shared" si="25"/>
        <v>-32338.159315483877</v>
      </c>
      <c r="F62" s="17">
        <f t="shared" si="26"/>
        <v>-3.4590548701838356E-3</v>
      </c>
      <c r="G62" s="18">
        <f t="shared" si="27"/>
        <v>-33313.412025903752</v>
      </c>
      <c r="I62" s="17">
        <f t="shared" si="28"/>
        <v>-1.8000000000000004E-3</v>
      </c>
      <c r="J62" s="18">
        <f t="shared" si="29"/>
        <v>-28050</v>
      </c>
    </row>
    <row r="63" spans="3:13" x14ac:dyDescent="0.25">
      <c r="C63" s="17">
        <f t="shared" si="24"/>
        <v>-2.5253318857475313E-3</v>
      </c>
      <c r="D63" s="18">
        <f t="shared" si="25"/>
        <v>-32583.145370904211</v>
      </c>
      <c r="F63" s="17">
        <f t="shared" si="26"/>
        <v>-3.6512245851940488E-3</v>
      </c>
      <c r="G63" s="18">
        <f t="shared" si="27"/>
        <v>-33496.483581050321</v>
      </c>
      <c r="I63" s="17">
        <f t="shared" si="28"/>
        <v>-1.9000000000000006E-3</v>
      </c>
      <c r="J63" s="18">
        <f t="shared" si="29"/>
        <v>-28262.5</v>
      </c>
    </row>
    <row r="64" spans="3:13" x14ac:dyDescent="0.25">
      <c r="C64" s="17">
        <f t="shared" si="24"/>
        <v>-2.6582440902605592E-3</v>
      </c>
      <c r="D64" s="18">
        <f t="shared" si="25"/>
        <v>-32664.807389377656</v>
      </c>
      <c r="F64" s="17">
        <f t="shared" si="26"/>
        <v>-3.843394300204262E-3</v>
      </c>
      <c r="G64" s="18">
        <f t="shared" si="27"/>
        <v>-33556.283850578744</v>
      </c>
      <c r="I64" s="17">
        <f t="shared" si="28"/>
        <v>-2.0000000000000005E-3</v>
      </c>
      <c r="J64" s="18">
        <f t="shared" si="29"/>
        <v>-28333.333333333332</v>
      </c>
    </row>
    <row r="65" spans="3:10" ht="15.75" thickBot="1" x14ac:dyDescent="0.3">
      <c r="C65" s="19">
        <f t="shared" si="24"/>
        <v>-9.6150221967684531E-3</v>
      </c>
      <c r="D65" s="20">
        <f t="shared" si="25"/>
        <v>-27765.086280971009</v>
      </c>
      <c r="F65" s="19">
        <f t="shared" si="26"/>
        <v>-1.6908086233063668E-2</v>
      </c>
      <c r="G65" s="20">
        <f t="shared" si="27"/>
        <v>-28522.841272991929</v>
      </c>
      <c r="I65" s="19">
        <f t="shared" si="28"/>
        <v>-3.5000000000000001E-3</v>
      </c>
      <c r="J65" s="20">
        <f t="shared" si="29"/>
        <v>-28333.333333333332</v>
      </c>
    </row>
  </sheetData>
  <sheetProtection selectLockedCells="1" selectUnlockedCells="1"/>
  <dataConsolidate/>
  <mergeCells count="32">
    <mergeCell ref="AS12:AT12"/>
    <mergeCell ref="AS21:AT21"/>
    <mergeCell ref="AP10:AQ10"/>
    <mergeCell ref="AS10:AT10"/>
    <mergeCell ref="L49:M50"/>
    <mergeCell ref="L39:M40"/>
    <mergeCell ref="AP12:AQ12"/>
    <mergeCell ref="C8:C9"/>
    <mergeCell ref="AB12:AE12"/>
    <mergeCell ref="AL12:AN12"/>
    <mergeCell ref="AP21:AQ21"/>
    <mergeCell ref="C28:F28"/>
    <mergeCell ref="AG12:AJ12"/>
    <mergeCell ref="J16:J17"/>
    <mergeCell ref="C12:H12"/>
    <mergeCell ref="I23:K23"/>
    <mergeCell ref="J24:K26"/>
    <mergeCell ref="C23:E23"/>
    <mergeCell ref="D24:E26"/>
    <mergeCell ref="F23:H23"/>
    <mergeCell ref="G24:H26"/>
    <mergeCell ref="C39:D40"/>
    <mergeCell ref="C37:M38"/>
    <mergeCell ref="I39:J40"/>
    <mergeCell ref="H28:K28"/>
    <mergeCell ref="F39:G40"/>
    <mergeCell ref="C1:D1"/>
    <mergeCell ref="C3:C4"/>
    <mergeCell ref="D3:D4"/>
    <mergeCell ref="C7:J7"/>
    <mergeCell ref="L7:N7"/>
    <mergeCell ref="C2:Q2"/>
  </mergeCells>
  <conditionalFormatting sqref="D24:E26">
    <cfRule type="containsText" dxfId="20" priority="3" operator="containsText" text="Pass">
      <formula>NOT(ISERROR(SEARCH("Pass",D24)))</formula>
    </cfRule>
  </conditionalFormatting>
  <conditionalFormatting sqref="G24:H26">
    <cfRule type="containsText" dxfId="19" priority="2" operator="containsText" text="Pass">
      <formula>NOT(ISERROR(SEARCH("Pass",G24)))</formula>
    </cfRule>
  </conditionalFormatting>
  <conditionalFormatting sqref="J24:K26">
    <cfRule type="containsText" dxfId="18"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98A5F5CF-E337-4DAD-B30D-32A737C52230}">
          <x14:formula1>
            <xm:f>Data!$C$18:$C$20</xm:f>
          </x14:formula1>
          <xm:sqref>C10</xm:sqref>
        </x14:dataValidation>
        <x14:dataValidation type="list" allowBlank="1" showInputMessage="1" showErrorMessage="1" xr:uid="{DB928416-B687-4EBD-A232-B19AAE567078}">
          <x14:formula1>
            <xm:f>Data!$C$5:$C$13</xm:f>
          </x14:formula1>
          <xm:sqref>C5</xm:sqref>
        </x14:dataValidation>
        <x14:dataValidation type="list" allowBlank="1" showInputMessage="1" showErrorMessage="1" xr:uid="{CA86620B-5218-48E5-AC15-0E4214CAEC3D}">
          <x14:formula1>
            <xm:f>Data!$C$23:$C$33</xm:f>
          </x14:formula1>
          <xm:sqref>C18 C21</xm:sqref>
        </x14:dataValidation>
        <x14:dataValidation type="list" allowBlank="1" showInputMessage="1" showErrorMessage="1" xr:uid="{CDABAD67-FBEF-4E9C-903D-5A46536E800E}">
          <x14:formula1>
            <xm:f>Data!$D$23:$D$29</xm:f>
          </x14:formula1>
          <xm:sqref>D18:E18</xm:sqref>
        </x14:dataValidation>
        <x14:dataValidation type="list" allowBlank="1" showInputMessage="1" showErrorMessage="1" xr:uid="{F6C3F547-22BC-424B-9AEF-A31C81FE852C}">
          <x14:formula1>
            <xm:f>Data!$E$23:$E$29</xm:f>
          </x14:formula1>
          <xm:sqref>D21</xm:sqref>
        </x14:dataValidation>
        <x14:dataValidation type="list" showInputMessage="1" showErrorMessage="1" xr:uid="{842C72C2-67A7-4BDC-8519-F88D68CD7C95}">
          <x14:formula1>
            <xm:f>Data!$F$23:$F$24</xm:f>
          </x14:formula1>
          <xm:sqref>J18</xm:sqref>
        </x14:dataValidation>
        <x14:dataValidation type="list" allowBlank="1" showInputMessage="1" showErrorMessage="1" xr:uid="{CAA88610-6B21-4A11-A8BB-DE99CA87EC3F}">
          <x14:formula1>
            <xm:f>Data!$G$23:$G$24</xm:f>
          </x14:formula1>
          <xm:sqref>H15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1D81-CF62-4B10-ABAC-0F72F54180D8}">
  <dimension ref="C1:BA65"/>
  <sheetViews>
    <sheetView topLeftCell="M13" zoomScaleNormal="100" workbookViewId="0">
      <selection activeCell="I26" sqref="I26"/>
    </sheetView>
  </sheetViews>
  <sheetFormatPr defaultRowHeight="15" x14ac:dyDescent="0.25"/>
  <cols>
    <col min="1" max="2" width="9.7109375" style="90" customWidth="1"/>
    <col min="3" max="17" width="12.7109375" style="90" customWidth="1"/>
    <col min="18" max="46" width="10.7109375" style="90" customWidth="1"/>
    <col min="47" max="16384" width="9.140625" style="90"/>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VLOOKUP('WR03-04'!C5,Data!C5:P13,11,FALSE)</f>
        <v>2</v>
      </c>
      <c r="N5" s="8">
        <f>VLOOKUP(C5,Data!C5:P13,12,FALSE)</f>
        <v>1.75</v>
      </c>
      <c r="O5" s="8">
        <f>VLOOKUP(C5,Data!C5:P13,13,FALSE)</f>
        <v>3.5</v>
      </c>
      <c r="P5" s="8">
        <f>VLOOKUP(C5,Data!C5:P13,14,FALSE)</f>
        <v>2.4324324324324325</v>
      </c>
      <c r="Q5" s="41">
        <f>1.05*H5*I31/H31</f>
        <v>2.6745141954779905</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86" t="s">
        <v>44</v>
      </c>
      <c r="E8" s="86" t="s">
        <v>45</v>
      </c>
      <c r="F8" s="86"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88"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87"/>
      <c r="AG14" s="38" t="s">
        <v>17</v>
      </c>
      <c r="AH14" s="48" t="s">
        <v>14</v>
      </c>
      <c r="AI14" s="48" t="s">
        <v>15</v>
      </c>
      <c r="AJ14" s="48" t="s">
        <v>15</v>
      </c>
      <c r="AK14" s="87"/>
      <c r="AL14" s="38" t="s">
        <v>17</v>
      </c>
      <c r="AM14" s="48" t="s">
        <v>15</v>
      </c>
      <c r="AN14" s="48" t="s">
        <v>15</v>
      </c>
      <c r="AO14" s="87"/>
      <c r="AP14" s="38" t="s">
        <v>17</v>
      </c>
      <c r="AQ14" s="48" t="s">
        <v>15</v>
      </c>
      <c r="AR14" s="87"/>
      <c r="AS14" s="38" t="s">
        <v>17</v>
      </c>
      <c r="AT14" s="48" t="s">
        <v>15</v>
      </c>
    </row>
    <row r="15" spans="3:53" ht="16.5" thickTop="1" thickBot="1" x14ac:dyDescent="0.3">
      <c r="C15" s="61">
        <v>900</v>
      </c>
      <c r="D15" s="62">
        <v>600</v>
      </c>
      <c r="E15" s="62">
        <v>35</v>
      </c>
      <c r="F15" s="22">
        <f>C15-2*E15-C21</f>
        <v>822</v>
      </c>
      <c r="G15" s="22">
        <f>D15-2*E15-C21</f>
        <v>522</v>
      </c>
      <c r="H15" s="63" t="s">
        <v>108</v>
      </c>
      <c r="AB15" s="7">
        <v>-0.1</v>
      </c>
      <c r="AC15" s="7">
        <v>0</v>
      </c>
      <c r="AD15" s="7">
        <v>-0.1</v>
      </c>
      <c r="AE15" s="7">
        <f>-0.1</f>
        <v>-0.1</v>
      </c>
      <c r="AF15" s="87"/>
      <c r="AG15" s="7">
        <v>-0.1</v>
      </c>
      <c r="AH15" s="7">
        <v>0</v>
      </c>
      <c r="AI15" s="7">
        <v>-0.1</v>
      </c>
      <c r="AJ15" s="7">
        <f>-0.1</f>
        <v>-0.1</v>
      </c>
      <c r="AK15" s="87"/>
      <c r="AL15" s="7">
        <v>-0.1</v>
      </c>
      <c r="AM15" s="7">
        <v>-0.1</v>
      </c>
      <c r="AN15" s="7">
        <f>-0.1</f>
        <v>-0.1</v>
      </c>
      <c r="AO15" s="87"/>
      <c r="AP15" s="7">
        <f>-1*J10</f>
        <v>-45</v>
      </c>
      <c r="AQ15" s="7">
        <f>-D10</f>
        <v>-500</v>
      </c>
      <c r="AR15" s="87"/>
      <c r="AS15" s="7">
        <f>-1*J10</f>
        <v>-45</v>
      </c>
      <c r="AT15" s="7">
        <f>-1*E10</f>
        <v>-540</v>
      </c>
      <c r="AV15" s="90">
        <f>$K$5</f>
        <v>2</v>
      </c>
      <c r="AW15" s="90">
        <f t="shared" ref="AW15:AW37" si="0">$AB$36</f>
        <v>2.947717173891661</v>
      </c>
      <c r="AX15" s="90">
        <f t="shared" ref="AX15:AX37" si="1">$AL$37</f>
        <v>3.5</v>
      </c>
      <c r="AY15" s="90">
        <f t="shared" ref="AY15:AY37" si="2">$AB$37</f>
        <v>12.061031075475835</v>
      </c>
      <c r="AZ15" s="90">
        <f t="shared" ref="AZ15:AZ37" si="3">$AG$37</f>
        <v>21.174269575113819</v>
      </c>
      <c r="BA15" s="90">
        <f t="shared" ref="BA15:BA37" si="4">$AI$36</f>
        <v>62.310008571493334</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AB16" s="86">
        <v>0</v>
      </c>
      <c r="AC16" s="86">
        <f t="shared" ref="AC16:AC36" si="5">AB16/$D$31</f>
        <v>0</v>
      </c>
      <c r="AD16" s="86">
        <f t="shared" ref="AD16:AD36" si="6">IF(AB16&lt;=$AB$36,$C$31*(1-(1-AB16/$AB$36)^$M$5),$C$31)</f>
        <v>0</v>
      </c>
      <c r="AE16" s="86">
        <f>AD16*$N$10/$L$10</f>
        <v>0</v>
      </c>
      <c r="AF16" s="87"/>
      <c r="AG16" s="86">
        <v>0</v>
      </c>
      <c r="AH16" s="86">
        <f t="shared" ref="AH16:AH36" si="7">AG16/$I$31</f>
        <v>0</v>
      </c>
      <c r="AI16" s="86">
        <f t="shared" ref="AI16:AI36" si="8">IF(AG16&lt;=$AG$36,$H$31*AH16*($Q$5-AH16)/(1+($Q$5-2)*AH16))</f>
        <v>0</v>
      </c>
      <c r="AJ16" s="86">
        <f>AI16*$N$10/$L$10</f>
        <v>0</v>
      </c>
      <c r="AK16" s="87"/>
      <c r="AL16" s="86">
        <v>0</v>
      </c>
      <c r="AM16" s="86">
        <f t="shared" ref="AM16:AM36" si="9">$E$5*(1-(1-AL16/$K$5)^$M$5)</f>
        <v>0</v>
      </c>
      <c r="AN16" s="86">
        <f t="shared" ref="AN16:AN37" si="10">AM16*$N$10/$L$10</f>
        <v>0</v>
      </c>
      <c r="AO16" s="87"/>
      <c r="AP16" s="86">
        <f>-1*D10/G10</f>
        <v>-2.5</v>
      </c>
      <c r="AQ16" s="86">
        <f>AQ15</f>
        <v>-500</v>
      </c>
      <c r="AR16" s="87"/>
      <c r="AS16" s="86">
        <f>-1*H10</f>
        <v>-2.5</v>
      </c>
      <c r="AT16" s="86">
        <f>-1*D10</f>
        <v>-500</v>
      </c>
      <c r="AV16" s="90">
        <f t="shared" ref="AV16:AV37" si="11">$K$5</f>
        <v>2</v>
      </c>
      <c r="AW16" s="90">
        <f t="shared" si="0"/>
        <v>2.947717173891661</v>
      </c>
      <c r="AX16" s="90">
        <f t="shared" si="1"/>
        <v>3.5</v>
      </c>
      <c r="AY16" s="90">
        <f t="shared" si="2"/>
        <v>12.061031075475835</v>
      </c>
      <c r="AZ16" s="90">
        <f t="shared" si="3"/>
        <v>21.174269575113819</v>
      </c>
      <c r="BA16" s="90">
        <f t="shared" si="4"/>
        <v>62.310008571493334</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AB17" s="86">
        <f t="shared" ref="AB17:AB36" si="12">AB16+$D$31/20</f>
        <v>0.14738585869458309</v>
      </c>
      <c r="AC17" s="86">
        <f t="shared" si="5"/>
        <v>0.05</v>
      </c>
      <c r="AD17" s="86">
        <f t="shared" si="6"/>
        <v>5.9183756623236192</v>
      </c>
      <c r="AE17" s="86">
        <f t="shared" ref="AE17:AE37" si="13">AD17*$N$10/$L$10</f>
        <v>3.3537462086500507</v>
      </c>
      <c r="AF17" s="87"/>
      <c r="AG17" s="86">
        <f t="shared" ref="AG17:AG36" si="14">AG16+$I$31/20</f>
        <v>0.22310008571493337</v>
      </c>
      <c r="AH17" s="86">
        <f t="shared" si="7"/>
        <v>0.05</v>
      </c>
      <c r="AI17" s="86">
        <f t="shared" si="8"/>
        <v>7.9099078445097506</v>
      </c>
      <c r="AJ17" s="86">
        <f t="shared" ref="AJ17:AJ37" si="15">AI17*$N$10/$L$10</f>
        <v>4.4822811118888586</v>
      </c>
      <c r="AK17" s="87"/>
      <c r="AL17" s="86">
        <f t="shared" ref="AL17:AL36" si="16">AL16+$K$5/20</f>
        <v>0.1</v>
      </c>
      <c r="AM17" s="86">
        <f t="shared" si="9"/>
        <v>4.8750000000000018</v>
      </c>
      <c r="AN17" s="86">
        <f t="shared" si="10"/>
        <v>2.7625000000000011</v>
      </c>
      <c r="AO17" s="87"/>
      <c r="AP17" s="86">
        <f>0</f>
        <v>0</v>
      </c>
      <c r="AQ17" s="86">
        <f>0</f>
        <v>0</v>
      </c>
      <c r="AR17" s="87"/>
      <c r="AS17" s="86">
        <f>0</f>
        <v>0</v>
      </c>
      <c r="AT17" s="86">
        <f>0</f>
        <v>0</v>
      </c>
      <c r="AV17" s="90">
        <f t="shared" si="11"/>
        <v>2</v>
      </c>
      <c r="AW17" s="90">
        <f t="shared" si="0"/>
        <v>2.947717173891661</v>
      </c>
      <c r="AX17" s="90">
        <f t="shared" si="1"/>
        <v>3.5</v>
      </c>
      <c r="AY17" s="90">
        <f t="shared" si="2"/>
        <v>12.061031075475835</v>
      </c>
      <c r="AZ17" s="90">
        <f t="shared" si="3"/>
        <v>21.174269575113819</v>
      </c>
      <c r="BA17" s="90">
        <f t="shared" si="4"/>
        <v>62.310008571493334</v>
      </c>
    </row>
    <row r="18" spans="3:53" ht="16.5" thickTop="1" thickBot="1" x14ac:dyDescent="0.3">
      <c r="C18" s="61">
        <v>16</v>
      </c>
      <c r="D18" s="62">
        <v>150</v>
      </c>
      <c r="E18" s="62">
        <v>150</v>
      </c>
      <c r="F18" s="21">
        <f>IF(ROUND(F15/D18,0)*D18&lt;F15-C18-C21,ROUND(F15/D18,0)+1,ROUND(F15/D18,0))</f>
        <v>6</v>
      </c>
      <c r="G18" s="21">
        <f>IF(ROUND(G15/E18,0)*E18&lt;G15-C18-C21,ROUND(G15/E18,0)+1,ROUND(G15/E18,0))</f>
        <v>4</v>
      </c>
      <c r="H18" s="22">
        <f>(F15-C21-C18)/F18</f>
        <v>133</v>
      </c>
      <c r="I18" s="22">
        <f>(G15-C21-C18)/G18</f>
        <v>124.5</v>
      </c>
      <c r="J18" s="67" t="s">
        <v>98</v>
      </c>
      <c r="K18" s="22">
        <f>IF(J18="Min",IF(D18=200,H18,IF(2*H18&lt;=200,2*H18,H18)),IF(J18="Max",H18))</f>
        <v>133</v>
      </c>
      <c r="L18" s="22">
        <f>IF(J18="Min",IF(E18=200,I18,IF(2*I18&lt;=200,2*I18,I18)),IF(J18="Max",I18))</f>
        <v>124.5</v>
      </c>
      <c r="M18" s="21">
        <f>IF(K18=H18,F18,F18/2)</f>
        <v>6</v>
      </c>
      <c r="N18" s="83">
        <f>IF(L18=I18,G18,G18/2)</f>
        <v>4</v>
      </c>
      <c r="O18" s="27"/>
      <c r="P18" s="27"/>
      <c r="Q18" s="27"/>
      <c r="R18" s="27"/>
      <c r="S18" s="27"/>
      <c r="T18" s="27"/>
      <c r="U18" s="27"/>
      <c r="V18" s="27"/>
      <c r="AB18" s="86">
        <f t="shared" si="12"/>
        <v>0.29477171738916619</v>
      </c>
      <c r="AC18" s="86">
        <f t="shared" si="5"/>
        <v>0.1</v>
      </c>
      <c r="AD18" s="86">
        <f t="shared" si="6"/>
        <v>11.533244880425521</v>
      </c>
      <c r="AE18" s="86">
        <f t="shared" si="13"/>
        <v>6.5355054322411279</v>
      </c>
      <c r="AF18" s="87"/>
      <c r="AG18" s="86">
        <f t="shared" si="14"/>
        <v>0.44620017142986673</v>
      </c>
      <c r="AH18" s="86">
        <f t="shared" si="7"/>
        <v>0.1</v>
      </c>
      <c r="AI18" s="86">
        <f t="shared" si="8"/>
        <v>15.028131365043498</v>
      </c>
      <c r="AJ18" s="86">
        <f t="shared" si="15"/>
        <v>8.5159411068579818</v>
      </c>
      <c r="AK18" s="87"/>
      <c r="AL18" s="86">
        <f t="shared" si="16"/>
        <v>0.2</v>
      </c>
      <c r="AM18" s="86">
        <f t="shared" si="9"/>
        <v>9.4999999999999964</v>
      </c>
      <c r="AN18" s="86">
        <f t="shared" si="10"/>
        <v>5.383333333333332</v>
      </c>
      <c r="AO18" s="87"/>
      <c r="AP18" s="86">
        <f>-1*AP16</f>
        <v>2.5</v>
      </c>
      <c r="AQ18" s="86">
        <f>-1*AQ16</f>
        <v>500</v>
      </c>
      <c r="AR18" s="87"/>
      <c r="AS18" s="86">
        <f>H10</f>
        <v>2.5</v>
      </c>
      <c r="AT18" s="86">
        <f>D10</f>
        <v>500</v>
      </c>
      <c r="AV18" s="90">
        <f t="shared" si="11"/>
        <v>2</v>
      </c>
      <c r="AW18" s="90">
        <f t="shared" si="0"/>
        <v>2.947717173891661</v>
      </c>
      <c r="AX18" s="90">
        <f t="shared" si="1"/>
        <v>3.5</v>
      </c>
      <c r="AY18" s="90">
        <f t="shared" si="2"/>
        <v>12.061031075475835</v>
      </c>
      <c r="AZ18" s="90">
        <f t="shared" si="3"/>
        <v>21.174269575113819</v>
      </c>
      <c r="BA18" s="90">
        <f t="shared" si="4"/>
        <v>62.310008571493334</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AB19" s="86">
        <f t="shared" si="12"/>
        <v>0.44215757608374928</v>
      </c>
      <c r="AC19" s="86">
        <f t="shared" si="5"/>
        <v>0.15</v>
      </c>
      <c r="AD19" s="86">
        <f t="shared" si="6"/>
        <v>16.844607654305687</v>
      </c>
      <c r="AE19" s="86">
        <f t="shared" si="13"/>
        <v>9.5452776707732223</v>
      </c>
      <c r="AF19" s="87"/>
      <c r="AG19" s="86">
        <f t="shared" si="14"/>
        <v>0.66930025714480013</v>
      </c>
      <c r="AH19" s="86">
        <f t="shared" si="7"/>
        <v>0.15000000000000002</v>
      </c>
      <c r="AI19" s="86">
        <f t="shared" si="8"/>
        <v>21.427411218027906</v>
      </c>
      <c r="AJ19" s="86">
        <f t="shared" si="15"/>
        <v>12.142199690215813</v>
      </c>
      <c r="AK19" s="87"/>
      <c r="AL19" s="86">
        <f>AL18+$K$5/20</f>
        <v>0.30000000000000004</v>
      </c>
      <c r="AM19" s="86">
        <f t="shared" si="9"/>
        <v>13.875000000000004</v>
      </c>
      <c r="AN19" s="86">
        <f t="shared" si="10"/>
        <v>7.8625000000000016</v>
      </c>
      <c r="AO19" s="87"/>
      <c r="AP19" s="86">
        <f>-1*AP15</f>
        <v>45</v>
      </c>
      <c r="AQ19" s="86">
        <f>AQ18</f>
        <v>500</v>
      </c>
      <c r="AR19" s="87"/>
      <c r="AS19" s="86">
        <f>J10</f>
        <v>45</v>
      </c>
      <c r="AT19" s="86">
        <f>E10</f>
        <v>540</v>
      </c>
      <c r="AV19" s="90">
        <f t="shared" si="11"/>
        <v>2</v>
      </c>
      <c r="AW19" s="90">
        <f t="shared" si="0"/>
        <v>2.947717173891661</v>
      </c>
      <c r="AX19" s="90">
        <f t="shared" si="1"/>
        <v>3.5</v>
      </c>
      <c r="AY19" s="90">
        <f t="shared" si="2"/>
        <v>12.061031075475835</v>
      </c>
      <c r="AZ19" s="90">
        <f t="shared" si="3"/>
        <v>21.174269575113819</v>
      </c>
      <c r="BA19" s="90">
        <f t="shared" si="4"/>
        <v>62.310008571493334</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AB20" s="86">
        <f t="shared" si="12"/>
        <v>0.58954343477833238</v>
      </c>
      <c r="AC20" s="86">
        <f t="shared" si="5"/>
        <v>0.2</v>
      </c>
      <c r="AD20" s="86">
        <f t="shared" si="6"/>
        <v>21.852463983964132</v>
      </c>
      <c r="AE20" s="86">
        <f t="shared" si="13"/>
        <v>12.383062924246341</v>
      </c>
      <c r="AF20" s="87"/>
      <c r="AG20" s="86">
        <f t="shared" si="14"/>
        <v>0.89240034285973346</v>
      </c>
      <c r="AH20" s="86">
        <f t="shared" si="7"/>
        <v>0.2</v>
      </c>
      <c r="AI20" s="86">
        <f t="shared" si="8"/>
        <v>27.171841574277288</v>
      </c>
      <c r="AJ20" s="86">
        <f t="shared" si="15"/>
        <v>15.397376892090463</v>
      </c>
      <c r="AK20" s="87"/>
      <c r="AL20" s="86">
        <f t="shared" si="16"/>
        <v>0.4</v>
      </c>
      <c r="AM20" s="86">
        <f t="shared" si="9"/>
        <v>17.999999999999993</v>
      </c>
      <c r="AN20" s="86">
        <f t="shared" si="10"/>
        <v>10.199999999999996</v>
      </c>
      <c r="AO20" s="87"/>
      <c r="AV20" s="90">
        <f t="shared" si="11"/>
        <v>2</v>
      </c>
      <c r="AW20" s="90">
        <f t="shared" si="0"/>
        <v>2.947717173891661</v>
      </c>
      <c r="AX20" s="90">
        <f t="shared" si="1"/>
        <v>3.5</v>
      </c>
      <c r="AY20" s="90">
        <f t="shared" si="2"/>
        <v>12.061031075475835</v>
      </c>
      <c r="AZ20" s="90">
        <f t="shared" si="3"/>
        <v>21.174269575113819</v>
      </c>
      <c r="BA20" s="90">
        <f t="shared" si="4"/>
        <v>62.310008571493334</v>
      </c>
    </row>
    <row r="21" spans="3:53" ht="16.5" thickTop="1" thickBot="1" x14ac:dyDescent="0.3">
      <c r="C21" s="61">
        <v>8</v>
      </c>
      <c r="D21" s="62">
        <v>100</v>
      </c>
      <c r="E21" s="22">
        <f>(N18+1)*C21^2*PI()/4</f>
        <v>251.32741228718345</v>
      </c>
      <c r="F21" s="22">
        <f>(M18+1)*C21^2*PI()/4</f>
        <v>351.85837720205683</v>
      </c>
      <c r="G21" s="22">
        <f>E21/(D21*G15)*100</f>
        <v>0.48147013848119435</v>
      </c>
      <c r="H21" s="22">
        <f>F21/(D21*F15)*100</f>
        <v>0.42805155377379178</v>
      </c>
      <c r="I21" s="22">
        <f>1-(M18*2*(K18^2)+N18*2*(L18^2))/(6*F15*G15)</f>
        <v>0.86938454941223631</v>
      </c>
      <c r="J21" s="22">
        <f>(1-D21/(2*F15))*(1-D21/(2*G15))</f>
        <v>0.84921367377949297</v>
      </c>
      <c r="K21" s="22">
        <f>I21*J21</f>
        <v>0.73829324713349431</v>
      </c>
      <c r="L21" s="22">
        <f>2*MIN(G21,H21)</f>
        <v>0.85610310754758356</v>
      </c>
      <c r="M21" s="22">
        <f>L21/100*D10/E5</f>
        <v>8.5610310754758348E-2</v>
      </c>
      <c r="N21" s="23">
        <f>0.5*M21*E5</f>
        <v>2.1402577688689588</v>
      </c>
      <c r="O21" s="27"/>
      <c r="P21" s="27"/>
      <c r="Q21" s="27"/>
      <c r="R21" s="27"/>
      <c r="S21" s="27"/>
      <c r="T21" s="27"/>
      <c r="U21" s="27"/>
      <c r="V21" s="27"/>
      <c r="AB21" s="86">
        <f t="shared" si="12"/>
        <v>0.73692929347291547</v>
      </c>
      <c r="AC21" s="86">
        <f t="shared" si="5"/>
        <v>0.25</v>
      </c>
      <c r="AD21" s="86">
        <f t="shared" si="6"/>
        <v>26.556813869400848</v>
      </c>
      <c r="AE21" s="86">
        <f t="shared" si="13"/>
        <v>15.04886119266048</v>
      </c>
      <c r="AF21" s="87"/>
      <c r="AG21" s="86">
        <f t="shared" si="14"/>
        <v>1.1155004285746668</v>
      </c>
      <c r="AH21" s="86">
        <f t="shared" si="7"/>
        <v>0.25</v>
      </c>
      <c r="AI21" s="86">
        <f t="shared" si="8"/>
        <v>32.318117773197415</v>
      </c>
      <c r="AJ21" s="86">
        <f t="shared" si="15"/>
        <v>18.313600071478536</v>
      </c>
      <c r="AK21" s="87"/>
      <c r="AL21" s="86">
        <f t="shared" si="16"/>
        <v>0.5</v>
      </c>
      <c r="AM21" s="86">
        <f t="shared" si="9"/>
        <v>21.875</v>
      </c>
      <c r="AN21" s="86">
        <f t="shared" si="10"/>
        <v>12.395833333333334</v>
      </c>
      <c r="AO21" s="87"/>
      <c r="AP21" s="133" t="s">
        <v>70</v>
      </c>
      <c r="AQ21" s="133"/>
      <c r="AR21" s="53"/>
      <c r="AS21" s="133" t="s">
        <v>70</v>
      </c>
      <c r="AT21" s="133"/>
      <c r="AV21" s="90">
        <f t="shared" si="11"/>
        <v>2</v>
      </c>
      <c r="AW21" s="90">
        <f t="shared" si="0"/>
        <v>2.947717173891661</v>
      </c>
      <c r="AX21" s="90">
        <f t="shared" si="1"/>
        <v>3.5</v>
      </c>
      <c r="AY21" s="90">
        <f t="shared" si="2"/>
        <v>12.061031075475835</v>
      </c>
      <c r="AZ21" s="90">
        <f t="shared" si="3"/>
        <v>21.174269575113819</v>
      </c>
      <c r="BA21" s="90">
        <f t="shared" si="4"/>
        <v>62.310008571493334</v>
      </c>
    </row>
    <row r="22" spans="3:53" ht="18.75" thickBot="1" x14ac:dyDescent="0.3">
      <c r="AB22" s="86">
        <f t="shared" si="12"/>
        <v>0.88431515216749856</v>
      </c>
      <c r="AC22" s="86">
        <f t="shared" si="5"/>
        <v>0.3</v>
      </c>
      <c r="AD22" s="86">
        <f t="shared" si="6"/>
        <v>30.957657310615847</v>
      </c>
      <c r="AE22" s="86">
        <f t="shared" si="13"/>
        <v>17.542672476015646</v>
      </c>
      <c r="AF22" s="87"/>
      <c r="AG22" s="86">
        <f t="shared" si="14"/>
        <v>1.3386005142896003</v>
      </c>
      <c r="AH22" s="86">
        <f t="shared" si="7"/>
        <v>0.30000000000000004</v>
      </c>
      <c r="AI22" s="86">
        <f t="shared" si="8"/>
        <v>36.916573998823765</v>
      </c>
      <c r="AJ22" s="86">
        <f t="shared" si="15"/>
        <v>20.919391932666802</v>
      </c>
      <c r="AK22" s="87"/>
      <c r="AL22" s="86">
        <f t="shared" si="16"/>
        <v>0.6</v>
      </c>
      <c r="AM22" s="86">
        <f t="shared" si="9"/>
        <v>25.5</v>
      </c>
      <c r="AN22" s="86">
        <f t="shared" si="10"/>
        <v>14.450000000000001</v>
      </c>
      <c r="AO22" s="87"/>
      <c r="AP22" s="45" t="s">
        <v>34</v>
      </c>
      <c r="AQ22" s="45" t="s">
        <v>72</v>
      </c>
      <c r="AR22" s="57"/>
      <c r="AS22" s="45" t="s">
        <v>34</v>
      </c>
      <c r="AT22" s="45" t="s">
        <v>72</v>
      </c>
      <c r="AV22" s="90">
        <f t="shared" si="11"/>
        <v>2</v>
      </c>
      <c r="AW22" s="90">
        <f t="shared" si="0"/>
        <v>2.947717173891661</v>
      </c>
      <c r="AX22" s="90">
        <f t="shared" si="1"/>
        <v>3.5</v>
      </c>
      <c r="AY22" s="90">
        <f t="shared" si="2"/>
        <v>12.061031075475835</v>
      </c>
      <c r="AZ22" s="90">
        <f t="shared" si="3"/>
        <v>21.174269575113819</v>
      </c>
      <c r="BA22" s="90">
        <f t="shared" si="4"/>
        <v>62.310008571493334</v>
      </c>
    </row>
    <row r="23" spans="3:53" ht="15.75" thickBot="1" x14ac:dyDescent="0.3">
      <c r="C23" s="146" t="s">
        <v>110</v>
      </c>
      <c r="D23" s="140"/>
      <c r="E23" s="141"/>
      <c r="F23" s="139" t="s">
        <v>111</v>
      </c>
      <c r="G23" s="140"/>
      <c r="H23" s="141"/>
      <c r="I23" s="139" t="s">
        <v>112</v>
      </c>
      <c r="J23" s="140"/>
      <c r="K23" s="141"/>
      <c r="AB23" s="86">
        <f t="shared" si="12"/>
        <v>1.0317010108620817</v>
      </c>
      <c r="AC23" s="86">
        <f t="shared" si="5"/>
        <v>0.35</v>
      </c>
      <c r="AD23" s="86">
        <f t="shared" si="6"/>
        <v>35.054994307609128</v>
      </c>
      <c r="AE23" s="86">
        <f t="shared" si="13"/>
        <v>19.864496774311839</v>
      </c>
      <c r="AF23" s="87"/>
      <c r="AG23" s="86">
        <f t="shared" si="14"/>
        <v>1.5617006000045337</v>
      </c>
      <c r="AH23" s="86">
        <f t="shared" si="7"/>
        <v>0.35000000000000003</v>
      </c>
      <c r="AI23" s="86">
        <f t="shared" si="8"/>
        <v>41.012051081603516</v>
      </c>
      <c r="AJ23" s="86">
        <f t="shared" si="15"/>
        <v>23.240162279575326</v>
      </c>
      <c r="AK23" s="87"/>
      <c r="AL23" s="86">
        <f t="shared" si="16"/>
        <v>0.7</v>
      </c>
      <c r="AM23" s="86">
        <f t="shared" si="9"/>
        <v>28.874999999999996</v>
      </c>
      <c r="AN23" s="86">
        <f t="shared" si="10"/>
        <v>16.362499999999997</v>
      </c>
      <c r="AO23" s="87"/>
      <c r="AP23" s="38" t="s">
        <v>17</v>
      </c>
      <c r="AQ23" s="48" t="s">
        <v>15</v>
      </c>
      <c r="AR23" s="87"/>
      <c r="AS23" s="38" t="s">
        <v>17</v>
      </c>
      <c r="AT23" s="48" t="s">
        <v>15</v>
      </c>
      <c r="AV23" s="90">
        <f t="shared" si="11"/>
        <v>2</v>
      </c>
      <c r="AW23" s="90">
        <f t="shared" si="0"/>
        <v>2.947717173891661</v>
      </c>
      <c r="AX23" s="90">
        <f t="shared" si="1"/>
        <v>3.5</v>
      </c>
      <c r="AY23" s="90">
        <f t="shared" si="2"/>
        <v>12.061031075475835</v>
      </c>
      <c r="AZ23" s="90">
        <f t="shared" si="3"/>
        <v>21.174269575113819</v>
      </c>
      <c r="BA23" s="90">
        <f t="shared" si="4"/>
        <v>62.310008571493334</v>
      </c>
    </row>
    <row r="24" spans="3:53" ht="18.75" thickTop="1" x14ac:dyDescent="0.25">
      <c r="C24" s="44" t="s">
        <v>109</v>
      </c>
      <c r="D24" s="142" t="str">
        <f>IF(H15="Column",IF(C26&lt;0.01,"Increase RFT",IF(C26&gt;0.04,"Decrease RFT","Pass")),IF(H15="Wall",IF(C26&lt;0.005,"Increase RFT",IF(C26&gt;0.04,"Decrease RFT","Pass"))))</f>
        <v>Pass</v>
      </c>
      <c r="E24" s="143"/>
      <c r="F24" s="45" t="s">
        <v>82</v>
      </c>
      <c r="G24" s="142" t="str">
        <f>IF(D21&lt;MIN(F15/2,G15/2,175,8*C18),"Pass","Decrease Spacing")</f>
        <v>Pass</v>
      </c>
      <c r="H24" s="143"/>
      <c r="I24" s="45" t="s">
        <v>113</v>
      </c>
      <c r="J24" s="142" t="str">
        <f>IF(I26&gt;0.08,"Pass","Adjust Detail")</f>
        <v>Pass</v>
      </c>
      <c r="K24" s="143"/>
      <c r="AB24" s="86">
        <f t="shared" si="12"/>
        <v>1.1790868695566648</v>
      </c>
      <c r="AC24" s="86">
        <f t="shared" si="5"/>
        <v>0.4</v>
      </c>
      <c r="AD24" s="86">
        <f t="shared" si="6"/>
        <v>38.848824860380674</v>
      </c>
      <c r="AE24" s="86">
        <f t="shared" si="13"/>
        <v>22.014334087549049</v>
      </c>
      <c r="AF24" s="87"/>
      <c r="AG24" s="86">
        <f t="shared" si="14"/>
        <v>1.7848006857194672</v>
      </c>
      <c r="AH24" s="86">
        <f t="shared" si="7"/>
        <v>0.40000000000000008</v>
      </c>
      <c r="AI24" s="86">
        <f t="shared" si="8"/>
        <v>44.644626008634731</v>
      </c>
      <c r="AJ24" s="86">
        <f t="shared" si="15"/>
        <v>25.298621404893012</v>
      </c>
      <c r="AK24" s="87"/>
      <c r="AL24" s="86">
        <f t="shared" si="16"/>
        <v>0.79999999999999993</v>
      </c>
      <c r="AM24" s="86">
        <f t="shared" si="9"/>
        <v>31.999999999999996</v>
      </c>
      <c r="AN24" s="86">
        <f t="shared" si="10"/>
        <v>18.133333333333329</v>
      </c>
      <c r="AO24" s="87"/>
      <c r="AP24" s="7">
        <f>AP15</f>
        <v>-45</v>
      </c>
      <c r="AQ24" s="7">
        <f>-D10/M10</f>
        <v>-434.78260869565219</v>
      </c>
      <c r="AR24" s="87"/>
      <c r="AS24" s="7">
        <f>-1*J10</f>
        <v>-45</v>
      </c>
      <c r="AT24" s="7">
        <f>-1*E10/M10</f>
        <v>-469.56521739130437</v>
      </c>
      <c r="AV24" s="90">
        <f t="shared" si="11"/>
        <v>2</v>
      </c>
      <c r="AW24" s="90">
        <f t="shared" si="0"/>
        <v>2.947717173891661</v>
      </c>
      <c r="AX24" s="90">
        <f t="shared" si="1"/>
        <v>3.5</v>
      </c>
      <c r="AY24" s="90">
        <f t="shared" si="2"/>
        <v>12.061031075475835</v>
      </c>
      <c r="AZ24" s="90">
        <f t="shared" si="3"/>
        <v>21.174269575113819</v>
      </c>
      <c r="BA24" s="90">
        <f t="shared" si="4"/>
        <v>62.310008571493334</v>
      </c>
    </row>
    <row r="25" spans="3:53" x14ac:dyDescent="0.25">
      <c r="C25" s="71" t="s">
        <v>57</v>
      </c>
      <c r="D25" s="142"/>
      <c r="E25" s="143"/>
      <c r="F25" s="86" t="s">
        <v>31</v>
      </c>
      <c r="G25" s="142"/>
      <c r="H25" s="143"/>
      <c r="I25" s="86" t="s">
        <v>14</v>
      </c>
      <c r="J25" s="142"/>
      <c r="K25" s="143"/>
      <c r="AB25" s="86">
        <f t="shared" si="12"/>
        <v>1.3264727282512478</v>
      </c>
      <c r="AC25" s="86">
        <f t="shared" si="5"/>
        <v>0.45</v>
      </c>
      <c r="AD25" s="86">
        <f t="shared" si="6"/>
        <v>42.339148968930509</v>
      </c>
      <c r="AE25" s="86">
        <f t="shared" si="13"/>
        <v>23.992184415727291</v>
      </c>
      <c r="AF25" s="87"/>
      <c r="AG25" s="86">
        <f t="shared" si="14"/>
        <v>2.0079007714344006</v>
      </c>
      <c r="AH25" s="86">
        <f t="shared" si="7"/>
        <v>0.45000000000000007</v>
      </c>
      <c r="AI25" s="86">
        <f t="shared" si="8"/>
        <v>47.850228188068122</v>
      </c>
      <c r="AJ25" s="86">
        <f t="shared" si="15"/>
        <v>27.115129306571934</v>
      </c>
      <c r="AK25" s="87"/>
      <c r="AL25" s="86">
        <f t="shared" si="16"/>
        <v>0.89999999999999991</v>
      </c>
      <c r="AM25" s="86">
        <f t="shared" si="9"/>
        <v>34.875</v>
      </c>
      <c r="AN25" s="86">
        <f t="shared" si="10"/>
        <v>19.762499999999999</v>
      </c>
      <c r="AO25" s="87"/>
      <c r="AP25" s="86">
        <f>-D10/M10/G10</f>
        <v>-2.1739130434782608</v>
      </c>
      <c r="AQ25" s="86">
        <f>AQ24</f>
        <v>-434.78260869565219</v>
      </c>
      <c r="AR25" s="87"/>
      <c r="AS25" s="86">
        <f>-1*D10/G10/M10</f>
        <v>-2.1739130434782612</v>
      </c>
      <c r="AT25" s="86">
        <f>-1*D10/M10</f>
        <v>-434.78260869565219</v>
      </c>
      <c r="AV25" s="90">
        <f t="shared" si="11"/>
        <v>2</v>
      </c>
      <c r="AW25" s="90">
        <f t="shared" si="0"/>
        <v>2.947717173891661</v>
      </c>
      <c r="AX25" s="90">
        <f t="shared" si="1"/>
        <v>3.5</v>
      </c>
      <c r="AY25" s="90">
        <f t="shared" si="2"/>
        <v>12.061031075475835</v>
      </c>
      <c r="AZ25" s="90">
        <f t="shared" si="3"/>
        <v>21.174269575113819</v>
      </c>
      <c r="BA25" s="90">
        <f t="shared" si="4"/>
        <v>62.310008571493334</v>
      </c>
    </row>
    <row r="26" spans="3:53" ht="15.75" thickBot="1" x14ac:dyDescent="0.3">
      <c r="C26" s="72">
        <f>IF(G18=1,C18^2*PI()/4*2*(F18+1)/(C15*D15),C18^2*PI()/4*(2*(F18+1)+2*G18)/(C15*D15))</f>
        <v>8.1914119560267187E-3</v>
      </c>
      <c r="D26" s="144"/>
      <c r="E26" s="145"/>
      <c r="F26" s="34">
        <f>D21</f>
        <v>100</v>
      </c>
      <c r="G26" s="144"/>
      <c r="H26" s="145"/>
      <c r="I26" s="34">
        <f>L21/100*AQ28/AN37</f>
        <v>0.13137132085129161</v>
      </c>
      <c r="J26" s="144"/>
      <c r="K26" s="145"/>
      <c r="AB26" s="86">
        <f t="shared" si="12"/>
        <v>1.4738585869458309</v>
      </c>
      <c r="AC26" s="86">
        <f t="shared" si="5"/>
        <v>0.5</v>
      </c>
      <c r="AD26" s="86">
        <f t="shared" si="6"/>
        <v>45.525966633258605</v>
      </c>
      <c r="AE26" s="86">
        <f t="shared" si="13"/>
        <v>25.79804775884654</v>
      </c>
      <c r="AF26" s="87"/>
      <c r="AG26" s="86">
        <f t="shared" si="14"/>
        <v>2.231000857149334</v>
      </c>
      <c r="AH26" s="86">
        <f t="shared" si="7"/>
        <v>0.50000000000000011</v>
      </c>
      <c r="AI26" s="86">
        <f t="shared" si="8"/>
        <v>50.661162460142414</v>
      </c>
      <c r="AJ26" s="86">
        <f t="shared" si="15"/>
        <v>28.707992060747369</v>
      </c>
      <c r="AK26" s="87"/>
      <c r="AL26" s="86">
        <f t="shared" si="16"/>
        <v>0.99999999999999989</v>
      </c>
      <c r="AM26" s="86">
        <f t="shared" si="9"/>
        <v>37.5</v>
      </c>
      <c r="AN26" s="86">
        <f t="shared" si="10"/>
        <v>21.25</v>
      </c>
      <c r="AO26" s="87"/>
      <c r="AP26" s="86">
        <v>0</v>
      </c>
      <c r="AQ26" s="86">
        <f>0</f>
        <v>0</v>
      </c>
      <c r="AR26" s="87"/>
      <c r="AS26" s="86">
        <f>0</f>
        <v>0</v>
      </c>
      <c r="AT26" s="86">
        <f>0</f>
        <v>0</v>
      </c>
      <c r="AV26" s="90">
        <f t="shared" si="11"/>
        <v>2</v>
      </c>
      <c r="AW26" s="90">
        <f t="shared" si="0"/>
        <v>2.947717173891661</v>
      </c>
      <c r="AX26" s="90">
        <f t="shared" si="1"/>
        <v>3.5</v>
      </c>
      <c r="AY26" s="90">
        <f t="shared" si="2"/>
        <v>12.061031075475835</v>
      </c>
      <c r="AZ26" s="90">
        <f t="shared" si="3"/>
        <v>21.174269575113819</v>
      </c>
      <c r="BA26" s="90">
        <f t="shared" si="4"/>
        <v>62.310008571493334</v>
      </c>
    </row>
    <row r="27" spans="3:53" ht="15.75" thickBot="1" x14ac:dyDescent="0.3">
      <c r="AB27" s="86">
        <f t="shared" si="12"/>
        <v>1.621244445640414</v>
      </c>
      <c r="AC27" s="86">
        <f t="shared" si="5"/>
        <v>0.55000000000000004</v>
      </c>
      <c r="AD27" s="86">
        <f t="shared" si="6"/>
        <v>48.409277853364976</v>
      </c>
      <c r="AE27" s="86">
        <f t="shared" si="13"/>
        <v>27.431924116906817</v>
      </c>
      <c r="AF27" s="87"/>
      <c r="AG27" s="86">
        <f t="shared" si="14"/>
        <v>2.4541009428642675</v>
      </c>
      <c r="AH27" s="86">
        <f t="shared" si="7"/>
        <v>0.55000000000000016</v>
      </c>
      <c r="AI27" s="86">
        <f t="shared" si="8"/>
        <v>53.106554912860403</v>
      </c>
      <c r="AJ27" s="86">
        <f t="shared" si="15"/>
        <v>30.093714450620894</v>
      </c>
      <c r="AK27" s="87"/>
      <c r="AL27" s="86">
        <f t="shared" si="16"/>
        <v>1.0999999999999999</v>
      </c>
      <c r="AM27" s="86">
        <f t="shared" si="9"/>
        <v>39.874999999999993</v>
      </c>
      <c r="AN27" s="86">
        <f t="shared" si="10"/>
        <v>22.595833333333328</v>
      </c>
      <c r="AO27" s="87"/>
      <c r="AP27" s="86">
        <f>-AP25</f>
        <v>2.1739130434782608</v>
      </c>
      <c r="AQ27" s="86">
        <f>-AQ25</f>
        <v>434.78260869565219</v>
      </c>
      <c r="AR27" s="87"/>
      <c r="AS27" s="86">
        <f>D10/G10/M10</f>
        <v>2.1739130434782612</v>
      </c>
      <c r="AT27" s="86">
        <f>D10/M10</f>
        <v>434.78260869565219</v>
      </c>
      <c r="AV27" s="90">
        <f t="shared" si="11"/>
        <v>2</v>
      </c>
      <c r="AW27" s="90">
        <f t="shared" si="0"/>
        <v>2.947717173891661</v>
      </c>
      <c r="AX27" s="90">
        <f t="shared" si="1"/>
        <v>3.5</v>
      </c>
      <c r="AY27" s="90">
        <f t="shared" si="2"/>
        <v>12.061031075475835</v>
      </c>
      <c r="AZ27" s="90">
        <f t="shared" si="3"/>
        <v>21.174269575113819</v>
      </c>
      <c r="BA27" s="90">
        <f t="shared" si="4"/>
        <v>62.310008571493334</v>
      </c>
    </row>
    <row r="28" spans="3:53" x14ac:dyDescent="0.25">
      <c r="C28" s="129" t="s">
        <v>91</v>
      </c>
      <c r="D28" s="130"/>
      <c r="E28" s="130"/>
      <c r="F28" s="131"/>
      <c r="H28" s="129" t="s">
        <v>92</v>
      </c>
      <c r="I28" s="130"/>
      <c r="J28" s="130"/>
      <c r="K28" s="131"/>
      <c r="AB28" s="86">
        <f t="shared" si="12"/>
        <v>1.7686303043349971</v>
      </c>
      <c r="AC28" s="86">
        <f t="shared" si="5"/>
        <v>0.6</v>
      </c>
      <c r="AD28" s="86">
        <f t="shared" si="6"/>
        <v>50.989082629249637</v>
      </c>
      <c r="AE28" s="86">
        <f t="shared" si="13"/>
        <v>28.893813489908126</v>
      </c>
      <c r="AF28" s="87"/>
      <c r="AG28" s="86">
        <f t="shared" si="14"/>
        <v>2.6772010285792009</v>
      </c>
      <c r="AH28" s="86">
        <f t="shared" si="7"/>
        <v>0.60000000000000009</v>
      </c>
      <c r="AI28" s="86">
        <f t="shared" si="8"/>
        <v>55.212734476013871</v>
      </c>
      <c r="AJ28" s="86">
        <f t="shared" si="15"/>
        <v>31.287216203074525</v>
      </c>
      <c r="AK28" s="87"/>
      <c r="AL28" s="86">
        <f t="shared" si="16"/>
        <v>1.2</v>
      </c>
      <c r="AM28" s="86">
        <f t="shared" si="9"/>
        <v>42</v>
      </c>
      <c r="AN28" s="86">
        <f t="shared" si="10"/>
        <v>23.799999999999997</v>
      </c>
      <c r="AO28" s="87"/>
      <c r="AP28" s="86">
        <f>-AP24</f>
        <v>45</v>
      </c>
      <c r="AQ28" s="86">
        <f>-AQ25</f>
        <v>434.78260869565219</v>
      </c>
      <c r="AR28" s="87"/>
      <c r="AS28" s="86">
        <f>J10</f>
        <v>45</v>
      </c>
      <c r="AT28" s="86">
        <f>E10/M10</f>
        <v>469.56521739130437</v>
      </c>
      <c r="AV28" s="90">
        <f t="shared" si="11"/>
        <v>2</v>
      </c>
      <c r="AW28" s="90">
        <f t="shared" si="0"/>
        <v>2.947717173891661</v>
      </c>
      <c r="AX28" s="90">
        <f t="shared" si="1"/>
        <v>3.5</v>
      </c>
      <c r="AY28" s="90">
        <f t="shared" si="2"/>
        <v>12.061031075475835</v>
      </c>
      <c r="AZ28" s="90">
        <f t="shared" si="3"/>
        <v>21.174269575113819</v>
      </c>
      <c r="BA28" s="90">
        <f t="shared" si="4"/>
        <v>62.310008571493334</v>
      </c>
    </row>
    <row r="29" spans="3:53" x14ac:dyDescent="0.25">
      <c r="C29" s="73" t="s">
        <v>61</v>
      </c>
      <c r="D29" s="3" t="s">
        <v>62</v>
      </c>
      <c r="E29" s="3" t="s">
        <v>63</v>
      </c>
      <c r="F29" s="74" t="s">
        <v>66</v>
      </c>
      <c r="H29" s="73" t="s">
        <v>61</v>
      </c>
      <c r="I29" s="3" t="s">
        <v>62</v>
      </c>
      <c r="J29" s="3" t="s">
        <v>63</v>
      </c>
      <c r="K29" s="74" t="s">
        <v>66</v>
      </c>
      <c r="AB29" s="86">
        <f t="shared" si="12"/>
        <v>1.9160161630295802</v>
      </c>
      <c r="AC29" s="86">
        <f t="shared" si="5"/>
        <v>0.65</v>
      </c>
      <c r="AD29" s="86">
        <f t="shared" si="6"/>
        <v>53.265380960912566</v>
      </c>
      <c r="AE29" s="86">
        <f t="shared" si="13"/>
        <v>30.183715877850457</v>
      </c>
      <c r="AF29" s="87"/>
      <c r="AG29" s="86">
        <f t="shared" si="14"/>
        <v>2.9003011142941344</v>
      </c>
      <c r="AH29" s="86">
        <f t="shared" si="7"/>
        <v>0.65000000000000013</v>
      </c>
      <c r="AI29" s="86">
        <f t="shared" si="8"/>
        <v>57.00356083379927</v>
      </c>
      <c r="AJ29" s="86">
        <f t="shared" si="15"/>
        <v>32.302017805819581</v>
      </c>
      <c r="AK29" s="87"/>
      <c r="AL29" s="86">
        <f t="shared" si="16"/>
        <v>1.3</v>
      </c>
      <c r="AM29" s="86">
        <f t="shared" si="9"/>
        <v>43.875</v>
      </c>
      <c r="AN29" s="86">
        <f t="shared" si="10"/>
        <v>24.862499999999997</v>
      </c>
      <c r="AO29" s="87"/>
      <c r="AV29" s="90">
        <f t="shared" si="11"/>
        <v>2</v>
      </c>
      <c r="AW29" s="90">
        <f t="shared" si="0"/>
        <v>2.947717173891661</v>
      </c>
      <c r="AX29" s="90">
        <f t="shared" si="1"/>
        <v>3.5</v>
      </c>
      <c r="AY29" s="90">
        <f t="shared" si="2"/>
        <v>12.061031075475835</v>
      </c>
      <c r="AZ29" s="90">
        <f t="shared" si="3"/>
        <v>21.174269575113819</v>
      </c>
      <c r="BA29" s="90">
        <f t="shared" si="4"/>
        <v>62.310008571493334</v>
      </c>
    </row>
    <row r="30" spans="3:53" ht="15.75" thickBot="1" x14ac:dyDescent="0.3">
      <c r="C30" s="75" t="s">
        <v>15</v>
      </c>
      <c r="D30" s="38" t="s">
        <v>17</v>
      </c>
      <c r="E30" s="38" t="s">
        <v>17</v>
      </c>
      <c r="F30" s="76" t="s">
        <v>15</v>
      </c>
      <c r="H30" s="75" t="s">
        <v>15</v>
      </c>
      <c r="I30" s="38" t="s">
        <v>17</v>
      </c>
      <c r="J30" s="38" t="s">
        <v>17</v>
      </c>
      <c r="K30" s="76" t="s">
        <v>15</v>
      </c>
      <c r="AB30" s="86">
        <f t="shared" si="12"/>
        <v>2.0634020217241633</v>
      </c>
      <c r="AC30" s="86">
        <f t="shared" si="5"/>
        <v>0.7</v>
      </c>
      <c r="AD30" s="86">
        <f t="shared" si="6"/>
        <v>55.23817284835377</v>
      </c>
      <c r="AE30" s="86">
        <f t="shared" si="13"/>
        <v>31.301631280733801</v>
      </c>
      <c r="AF30" s="87"/>
      <c r="AG30" s="86">
        <f t="shared" si="14"/>
        <v>3.1234012000090678</v>
      </c>
      <c r="AH30" s="86">
        <f t="shared" si="7"/>
        <v>0.70000000000000018</v>
      </c>
      <c r="AI30" s="86">
        <f t="shared" si="8"/>
        <v>58.500707264535897</v>
      </c>
      <c r="AJ30" s="86">
        <f t="shared" si="15"/>
        <v>33.150400783237011</v>
      </c>
      <c r="AK30" s="87"/>
      <c r="AL30" s="86">
        <f t="shared" si="16"/>
        <v>1.4000000000000001</v>
      </c>
      <c r="AM30" s="86">
        <f t="shared" si="9"/>
        <v>45.5</v>
      </c>
      <c r="AN30" s="86">
        <f t="shared" si="10"/>
        <v>25.783333333333331</v>
      </c>
      <c r="AO30" s="87"/>
      <c r="AV30" s="90">
        <f t="shared" si="11"/>
        <v>2</v>
      </c>
      <c r="AW30" s="90">
        <f t="shared" si="0"/>
        <v>2.947717173891661</v>
      </c>
      <c r="AX30" s="90">
        <f t="shared" si="1"/>
        <v>3.5</v>
      </c>
      <c r="AY30" s="90">
        <f t="shared" si="2"/>
        <v>12.061031075475835</v>
      </c>
      <c r="AZ30" s="90">
        <f t="shared" si="3"/>
        <v>21.174269575113819</v>
      </c>
      <c r="BA30" s="90">
        <f t="shared" si="4"/>
        <v>62.310008571493334</v>
      </c>
    </row>
    <row r="31" spans="3:53" ht="15.75" customHeight="1" thickTop="1" thickBot="1" x14ac:dyDescent="0.3">
      <c r="C31" s="9">
        <f>IF(N21&lt;=0.05*E5,E5*(1+5*N21/E5),E5*(1.125+2.5*N21/E5))</f>
        <v>60.701288844344795</v>
      </c>
      <c r="D31" s="10">
        <f>K5*(C31/E5)^2</f>
        <v>2.9477171738916619</v>
      </c>
      <c r="E31" s="11">
        <f>L5+0.2*N21/E5*1000</f>
        <v>12.061031075475835</v>
      </c>
      <c r="F31" s="89">
        <f>$N$10*C31/L10</f>
        <v>34.397397011795384</v>
      </c>
      <c r="H31" s="9">
        <f>$E$5*(1+3.7*(N21/E5)^0.86)</f>
        <v>62.310008571493334</v>
      </c>
      <c r="I31" s="10">
        <f>$K$5*(1+5*(H31/E5-1))</f>
        <v>4.4620017142986672</v>
      </c>
      <c r="J31" s="11">
        <f>(4/1000+0.5*N21/H31)*1000</f>
        <v>21.174269575113819</v>
      </c>
      <c r="K31" s="89">
        <f>H31*N10/L10</f>
        <v>35.309004857179552</v>
      </c>
      <c r="AB31" s="86">
        <f t="shared" si="12"/>
        <v>2.2107878804187466</v>
      </c>
      <c r="AC31" s="86">
        <f t="shared" si="5"/>
        <v>0.75000000000000011</v>
      </c>
      <c r="AD31" s="86">
        <f t="shared" si="6"/>
        <v>56.907458291573256</v>
      </c>
      <c r="AE31" s="86">
        <f t="shared" si="13"/>
        <v>32.247559698558177</v>
      </c>
      <c r="AF31" s="87"/>
      <c r="AG31" s="86">
        <f t="shared" si="14"/>
        <v>3.3465012857240013</v>
      </c>
      <c r="AH31" s="86">
        <f t="shared" si="7"/>
        <v>0.75000000000000022</v>
      </c>
      <c r="AI31" s="86">
        <f t="shared" si="8"/>
        <v>59.723905473632541</v>
      </c>
      <c r="AJ31" s="86">
        <f t="shared" si="15"/>
        <v>33.843546435058435</v>
      </c>
      <c r="AK31" s="87"/>
      <c r="AL31" s="86">
        <f t="shared" si="16"/>
        <v>1.5000000000000002</v>
      </c>
      <c r="AM31" s="86">
        <f t="shared" si="9"/>
        <v>46.875</v>
      </c>
      <c r="AN31" s="86">
        <f t="shared" si="10"/>
        <v>26.5625</v>
      </c>
      <c r="AO31" s="87"/>
      <c r="AV31" s="90">
        <f t="shared" si="11"/>
        <v>2</v>
      </c>
      <c r="AW31" s="90">
        <f t="shared" si="0"/>
        <v>2.947717173891661</v>
      </c>
      <c r="AX31" s="90">
        <f t="shared" si="1"/>
        <v>3.5</v>
      </c>
      <c r="AY31" s="90">
        <f t="shared" si="2"/>
        <v>12.061031075475835</v>
      </c>
      <c r="AZ31" s="90">
        <f t="shared" si="3"/>
        <v>21.174269575113819</v>
      </c>
      <c r="BA31" s="90">
        <f t="shared" si="4"/>
        <v>62.310008571493334</v>
      </c>
    </row>
    <row r="32" spans="3:53" ht="15.75" customHeight="1" x14ac:dyDescent="0.25">
      <c r="AB32" s="86">
        <f t="shared" si="12"/>
        <v>2.3581737391133295</v>
      </c>
      <c r="AC32" s="86">
        <f t="shared" si="5"/>
        <v>0.8</v>
      </c>
      <c r="AD32" s="86">
        <f t="shared" si="6"/>
        <v>58.273237290571011</v>
      </c>
      <c r="AE32" s="86">
        <f t="shared" si="13"/>
        <v>33.021501131323568</v>
      </c>
      <c r="AF32" s="87"/>
      <c r="AG32" s="86">
        <f t="shared" si="14"/>
        <v>3.5696013714389347</v>
      </c>
      <c r="AH32" s="86">
        <f t="shared" si="7"/>
        <v>0.80000000000000027</v>
      </c>
      <c r="AI32" s="86">
        <f t="shared" si="8"/>
        <v>60.691158247658308</v>
      </c>
      <c r="AJ32" s="86">
        <f t="shared" si="15"/>
        <v>34.391656340339708</v>
      </c>
      <c r="AK32" s="87"/>
      <c r="AL32" s="86">
        <f t="shared" si="16"/>
        <v>1.6000000000000003</v>
      </c>
      <c r="AM32" s="86">
        <f t="shared" si="9"/>
        <v>48.000000000000007</v>
      </c>
      <c r="AN32" s="86">
        <f t="shared" si="10"/>
        <v>27.200000000000003</v>
      </c>
      <c r="AO32" s="87"/>
      <c r="AV32" s="90">
        <f t="shared" si="11"/>
        <v>2</v>
      </c>
      <c r="AW32" s="90">
        <f t="shared" si="0"/>
        <v>2.947717173891661</v>
      </c>
      <c r="AX32" s="90">
        <f t="shared" si="1"/>
        <v>3.5</v>
      </c>
      <c r="AY32" s="90">
        <f t="shared" si="2"/>
        <v>12.061031075475835</v>
      </c>
      <c r="AZ32" s="90">
        <f t="shared" si="3"/>
        <v>21.174269575113819</v>
      </c>
      <c r="BA32" s="90">
        <f t="shared" si="4"/>
        <v>62.310008571493334</v>
      </c>
    </row>
    <row r="33" spans="3:53" ht="15.75" customHeight="1" x14ac:dyDescent="0.25">
      <c r="AB33" s="86">
        <f t="shared" si="12"/>
        <v>2.5055595978079124</v>
      </c>
      <c r="AC33" s="86">
        <f t="shared" si="5"/>
        <v>0.85</v>
      </c>
      <c r="AD33" s="86">
        <f t="shared" si="6"/>
        <v>59.33550984534704</v>
      </c>
      <c r="AE33" s="86">
        <f t="shared" si="13"/>
        <v>33.623455579029986</v>
      </c>
      <c r="AF33" s="87"/>
      <c r="AG33" s="86">
        <f t="shared" si="14"/>
        <v>3.7927014571538682</v>
      </c>
      <c r="AH33" s="86">
        <f t="shared" si="7"/>
        <v>0.8500000000000002</v>
      </c>
      <c r="AI33" s="86">
        <f t="shared" si="8"/>
        <v>61.418924757976093</v>
      </c>
      <c r="AJ33" s="86">
        <f t="shared" si="15"/>
        <v>34.804057362853122</v>
      </c>
      <c r="AK33" s="87"/>
      <c r="AL33" s="86">
        <f t="shared" si="16"/>
        <v>1.7000000000000004</v>
      </c>
      <c r="AM33" s="86">
        <f t="shared" si="9"/>
        <v>48.875</v>
      </c>
      <c r="AN33" s="86">
        <f t="shared" si="10"/>
        <v>27.695833333333329</v>
      </c>
      <c r="AO33" s="87"/>
      <c r="AV33" s="90">
        <f t="shared" si="11"/>
        <v>2</v>
      </c>
      <c r="AW33" s="90">
        <f t="shared" si="0"/>
        <v>2.947717173891661</v>
      </c>
      <c r="AX33" s="90">
        <f t="shared" si="1"/>
        <v>3.5</v>
      </c>
      <c r="AY33" s="90">
        <f t="shared" si="2"/>
        <v>12.061031075475835</v>
      </c>
      <c r="AZ33" s="90">
        <f t="shared" si="3"/>
        <v>21.174269575113819</v>
      </c>
      <c r="BA33" s="90">
        <f t="shared" si="4"/>
        <v>62.310008571493334</v>
      </c>
    </row>
    <row r="34" spans="3:53" ht="16.5" customHeight="1" x14ac:dyDescent="0.25">
      <c r="AB34" s="86">
        <f t="shared" si="12"/>
        <v>2.6529454565024952</v>
      </c>
      <c r="AC34" s="86">
        <f t="shared" si="5"/>
        <v>0.8999999999999998</v>
      </c>
      <c r="AD34" s="86">
        <f t="shared" si="6"/>
        <v>60.094275955901345</v>
      </c>
      <c r="AE34" s="86">
        <f t="shared" si="13"/>
        <v>34.053423041677426</v>
      </c>
      <c r="AF34" s="87"/>
      <c r="AG34" s="86">
        <f t="shared" si="14"/>
        <v>4.0158015428688012</v>
      </c>
      <c r="AH34" s="86">
        <f t="shared" si="7"/>
        <v>0.90000000000000013</v>
      </c>
      <c r="AI34" s="86">
        <f t="shared" si="8"/>
        <v>61.922282531759585</v>
      </c>
      <c r="AJ34" s="86">
        <f t="shared" si="15"/>
        <v>35.089293434663766</v>
      </c>
      <c r="AK34" s="87"/>
      <c r="AL34" s="86">
        <f t="shared" si="16"/>
        <v>1.8000000000000005</v>
      </c>
      <c r="AM34" s="86">
        <f t="shared" si="9"/>
        <v>49.500000000000007</v>
      </c>
      <c r="AN34" s="86">
        <f t="shared" si="10"/>
        <v>28.05</v>
      </c>
      <c r="AO34" s="87"/>
      <c r="AV34" s="90">
        <f t="shared" si="11"/>
        <v>2</v>
      </c>
      <c r="AW34" s="90">
        <f t="shared" si="0"/>
        <v>2.947717173891661</v>
      </c>
      <c r="AX34" s="90">
        <f t="shared" si="1"/>
        <v>3.5</v>
      </c>
      <c r="AY34" s="90">
        <f t="shared" si="2"/>
        <v>12.061031075475835</v>
      </c>
      <c r="AZ34" s="90">
        <f t="shared" si="3"/>
        <v>21.174269575113819</v>
      </c>
      <c r="BA34" s="90">
        <f t="shared" si="4"/>
        <v>62.310008571493334</v>
      </c>
    </row>
    <row r="35" spans="3:53" x14ac:dyDescent="0.25">
      <c r="AB35" s="86">
        <f t="shared" si="12"/>
        <v>2.8003313151970781</v>
      </c>
      <c r="AC35" s="86">
        <f t="shared" si="5"/>
        <v>0.94999999999999973</v>
      </c>
      <c r="AD35" s="86">
        <f t="shared" si="6"/>
        <v>60.54953562223394</v>
      </c>
      <c r="AE35" s="86">
        <f t="shared" si="13"/>
        <v>34.311403519265902</v>
      </c>
      <c r="AF35" s="87"/>
      <c r="AG35" s="86">
        <f t="shared" si="14"/>
        <v>4.2389016285837346</v>
      </c>
      <c r="AH35" s="86">
        <f t="shared" si="7"/>
        <v>0.95000000000000018</v>
      </c>
      <c r="AI35" s="86">
        <f t="shared" si="8"/>
        <v>62.215069447538006</v>
      </c>
      <c r="AJ35" s="86">
        <f t="shared" si="15"/>
        <v>35.255206020271537</v>
      </c>
      <c r="AK35" s="87"/>
      <c r="AL35" s="86">
        <f t="shared" si="16"/>
        <v>1.9000000000000006</v>
      </c>
      <c r="AM35" s="86">
        <f t="shared" si="9"/>
        <v>49.875</v>
      </c>
      <c r="AN35" s="86">
        <f t="shared" si="10"/>
        <v>28.262499999999999</v>
      </c>
      <c r="AO35" s="87"/>
      <c r="AV35" s="90">
        <f t="shared" si="11"/>
        <v>2</v>
      </c>
      <c r="AW35" s="90">
        <f t="shared" si="0"/>
        <v>2.947717173891661</v>
      </c>
      <c r="AX35" s="90">
        <f t="shared" si="1"/>
        <v>3.5</v>
      </c>
      <c r="AY35" s="90">
        <f t="shared" si="2"/>
        <v>12.061031075475835</v>
      </c>
      <c r="AZ35" s="90">
        <f t="shared" si="3"/>
        <v>21.174269575113819</v>
      </c>
      <c r="BA35" s="90">
        <f t="shared" si="4"/>
        <v>62.310008571493334</v>
      </c>
    </row>
    <row r="36" spans="3:53" ht="15.75" thickBot="1" x14ac:dyDescent="0.3">
      <c r="AB36" s="12">
        <f t="shared" si="12"/>
        <v>2.947717173891661</v>
      </c>
      <c r="AC36" s="86">
        <f t="shared" si="5"/>
        <v>0.99999999999999967</v>
      </c>
      <c r="AD36" s="86">
        <f t="shared" si="6"/>
        <v>60.701288844344795</v>
      </c>
      <c r="AE36" s="86">
        <f t="shared" si="13"/>
        <v>34.397397011795384</v>
      </c>
      <c r="AF36" s="87"/>
      <c r="AG36" s="12">
        <f t="shared" si="14"/>
        <v>4.4620017142986681</v>
      </c>
      <c r="AH36" s="86">
        <f t="shared" si="7"/>
        <v>1.0000000000000002</v>
      </c>
      <c r="AI36" s="86">
        <f t="shared" si="8"/>
        <v>62.310008571493334</v>
      </c>
      <c r="AJ36" s="86">
        <f t="shared" si="15"/>
        <v>35.309004857179552</v>
      </c>
      <c r="AK36" s="87"/>
      <c r="AL36" s="15">
        <f t="shared" si="16"/>
        <v>2.0000000000000004</v>
      </c>
      <c r="AM36" s="86">
        <f t="shared" si="9"/>
        <v>50</v>
      </c>
      <c r="AN36" s="86">
        <f t="shared" si="10"/>
        <v>28.333333333333332</v>
      </c>
      <c r="AO36" s="87"/>
      <c r="AV36" s="90">
        <f t="shared" si="11"/>
        <v>2</v>
      </c>
      <c r="AW36" s="90">
        <f t="shared" si="0"/>
        <v>2.947717173891661</v>
      </c>
      <c r="AX36" s="90">
        <f t="shared" si="1"/>
        <v>3.5</v>
      </c>
      <c r="AY36" s="90">
        <f t="shared" si="2"/>
        <v>12.061031075475835</v>
      </c>
      <c r="AZ36" s="90">
        <f t="shared" si="3"/>
        <v>21.174269575113819</v>
      </c>
      <c r="BA36" s="90">
        <f t="shared" si="4"/>
        <v>62.310008571493334</v>
      </c>
    </row>
    <row r="37" spans="3:53" ht="18" customHeight="1" x14ac:dyDescent="0.25">
      <c r="C37" s="123" t="s">
        <v>94</v>
      </c>
      <c r="D37" s="124"/>
      <c r="E37" s="124"/>
      <c r="F37" s="124"/>
      <c r="G37" s="124"/>
      <c r="H37" s="124"/>
      <c r="I37" s="124"/>
      <c r="J37" s="124"/>
      <c r="K37" s="124"/>
      <c r="L37" s="124"/>
      <c r="M37" s="125"/>
      <c r="AB37" s="13">
        <f>E31</f>
        <v>12.061031075475835</v>
      </c>
      <c r="AC37" s="86">
        <v>0</v>
      </c>
      <c r="AD37" s="86">
        <f>0.85*$AD$36</f>
        <v>51.596095517693072</v>
      </c>
      <c r="AE37" s="86">
        <f t="shared" si="13"/>
        <v>29.237787460026073</v>
      </c>
      <c r="AF37" s="87"/>
      <c r="AG37" s="13">
        <f>J31</f>
        <v>21.174269575113819</v>
      </c>
      <c r="AH37" s="86">
        <v>0</v>
      </c>
      <c r="AI37" s="86">
        <f>0.85*AI36</f>
        <v>52.963507285769332</v>
      </c>
      <c r="AJ37" s="86">
        <f t="shared" si="15"/>
        <v>30.01265412860262</v>
      </c>
      <c r="AK37" s="87"/>
      <c r="AL37" s="16">
        <f>L5</f>
        <v>3.5</v>
      </c>
      <c r="AM37" s="86">
        <f>E5</f>
        <v>50</v>
      </c>
      <c r="AN37" s="86">
        <f t="shared" si="10"/>
        <v>28.333333333333332</v>
      </c>
      <c r="AO37" s="87"/>
      <c r="AV37" s="90">
        <f t="shared" si="11"/>
        <v>2</v>
      </c>
      <c r="AW37" s="90">
        <f t="shared" si="0"/>
        <v>2.947717173891661</v>
      </c>
      <c r="AX37" s="90">
        <f t="shared" si="1"/>
        <v>3.5</v>
      </c>
      <c r="AY37" s="90">
        <f t="shared" si="2"/>
        <v>12.061031075475835</v>
      </c>
      <c r="AZ37" s="90">
        <f t="shared" si="3"/>
        <v>21.174269575113819</v>
      </c>
      <c r="BA37" s="90">
        <f t="shared" si="4"/>
        <v>62.310008571493334</v>
      </c>
    </row>
    <row r="38" spans="3:53" ht="15.75" customHeight="1" thickBot="1" x14ac:dyDescent="0.3">
      <c r="C38" s="126"/>
      <c r="D38" s="127"/>
      <c r="E38" s="127"/>
      <c r="F38" s="127"/>
      <c r="G38" s="127"/>
      <c r="H38" s="127"/>
      <c r="I38" s="127"/>
      <c r="J38" s="127"/>
      <c r="K38" s="127"/>
      <c r="L38" s="127"/>
      <c r="M38" s="128"/>
      <c r="AF38" s="87"/>
      <c r="AK38" s="87"/>
      <c r="AO38" s="87"/>
    </row>
    <row r="39" spans="3:53" ht="15.75" x14ac:dyDescent="0.25">
      <c r="C39" s="119" t="s">
        <v>89</v>
      </c>
      <c r="D39" s="120"/>
      <c r="E39" s="77"/>
      <c r="F39" s="119" t="s">
        <v>93</v>
      </c>
      <c r="G39" s="120"/>
      <c r="H39" s="78"/>
      <c r="I39" s="119" t="s">
        <v>90</v>
      </c>
      <c r="J39" s="120"/>
      <c r="L39" s="148" t="s">
        <v>131</v>
      </c>
      <c r="M39" s="149"/>
      <c r="AF39" s="87"/>
      <c r="AK39" s="87"/>
      <c r="AO39" s="87"/>
    </row>
    <row r="40" spans="3:53" ht="15.75" x14ac:dyDescent="0.25">
      <c r="C40" s="121"/>
      <c r="D40" s="122"/>
      <c r="E40" s="77"/>
      <c r="F40" s="121"/>
      <c r="G40" s="122"/>
      <c r="H40" s="78"/>
      <c r="I40" s="121"/>
      <c r="J40" s="122"/>
      <c r="L40" s="150"/>
      <c r="M40" s="151"/>
      <c r="AF40" s="87"/>
      <c r="AK40" s="87"/>
      <c r="AO40" s="87"/>
    </row>
    <row r="41" spans="3:53" ht="18.75" thickBot="1" x14ac:dyDescent="0.3">
      <c r="C41" s="79" t="s">
        <v>34</v>
      </c>
      <c r="D41" s="80" t="s">
        <v>75</v>
      </c>
      <c r="F41" s="79" t="s">
        <v>34</v>
      </c>
      <c r="G41" s="80" t="s">
        <v>75</v>
      </c>
      <c r="I41" s="79" t="s">
        <v>34</v>
      </c>
      <c r="J41" s="80" t="s">
        <v>76</v>
      </c>
      <c r="L41" s="79" t="s">
        <v>34</v>
      </c>
      <c r="M41" s="80" t="s">
        <v>77</v>
      </c>
      <c r="AF41" s="87"/>
      <c r="AK41" s="87"/>
      <c r="AO41" s="87"/>
    </row>
    <row r="42" spans="3:53" ht="15.75" thickTop="1" x14ac:dyDescent="0.25">
      <c r="C42" s="81" t="s">
        <v>17</v>
      </c>
      <c r="D42" s="82" t="s">
        <v>79</v>
      </c>
      <c r="F42" s="81" t="s">
        <v>17</v>
      </c>
      <c r="G42" s="82" t="s">
        <v>79</v>
      </c>
      <c r="I42" s="81" t="s">
        <v>17</v>
      </c>
      <c r="J42" s="82" t="s">
        <v>79</v>
      </c>
      <c r="L42" s="81" t="s">
        <v>17</v>
      </c>
      <c r="M42" s="82" t="s">
        <v>15</v>
      </c>
      <c r="AF42" s="87"/>
      <c r="AK42" s="87"/>
      <c r="AO42" s="87"/>
    </row>
    <row r="43" spans="3:53" x14ac:dyDescent="0.25">
      <c r="C43" s="17">
        <f t="shared" ref="C43:C65" si="17">AB15/-1000</f>
        <v>1E-4</v>
      </c>
      <c r="D43" s="18">
        <f t="shared" ref="D43:D65" si="18">-1*AE15*1000</f>
        <v>100</v>
      </c>
      <c r="F43" s="17">
        <f t="shared" ref="F43:F65" si="19">AG15/-1000</f>
        <v>1E-4</v>
      </c>
      <c r="G43" s="18">
        <f t="shared" ref="G43:G65" si="20">-1*AJ15*1000</f>
        <v>100</v>
      </c>
      <c r="I43" s="17">
        <f t="shared" ref="I43:I65" si="21">AL15/-1000</f>
        <v>1E-4</v>
      </c>
      <c r="J43" s="18">
        <f t="shared" ref="J43:J65" si="22">-1*AN15*1000</f>
        <v>100</v>
      </c>
      <c r="L43" s="17">
        <f>AP24/1000</f>
        <v>-4.4999999999999998E-2</v>
      </c>
      <c r="M43" s="18">
        <f>AQ24*1000</f>
        <v>-434782.60869565216</v>
      </c>
      <c r="AF43" s="87"/>
      <c r="AK43" s="87"/>
      <c r="AO43" s="87"/>
    </row>
    <row r="44" spans="3:53" x14ac:dyDescent="0.25">
      <c r="C44" s="17">
        <f t="shared" si="17"/>
        <v>0</v>
      </c>
      <c r="D44" s="18">
        <f t="shared" si="18"/>
        <v>0</v>
      </c>
      <c r="F44" s="17">
        <f t="shared" si="19"/>
        <v>0</v>
      </c>
      <c r="G44" s="18">
        <f t="shared" si="20"/>
        <v>0</v>
      </c>
      <c r="I44" s="17">
        <f t="shared" si="21"/>
        <v>0</v>
      </c>
      <c r="J44" s="18">
        <f t="shared" si="22"/>
        <v>0</v>
      </c>
      <c r="L44" s="17">
        <f>AP25/1000</f>
        <v>-2.1739130434782609E-3</v>
      </c>
      <c r="M44" s="18">
        <f>AQ25*1000</f>
        <v>-434782.60869565216</v>
      </c>
      <c r="AF44" s="87"/>
      <c r="AK44" s="87"/>
      <c r="AO44" s="87"/>
    </row>
    <row r="45" spans="3:53" x14ac:dyDescent="0.25">
      <c r="C45" s="17">
        <f t="shared" si="17"/>
        <v>-1.4738585869458309E-4</v>
      </c>
      <c r="D45" s="18">
        <f t="shared" si="18"/>
        <v>-3353.7462086500509</v>
      </c>
      <c r="F45" s="17">
        <f t="shared" si="19"/>
        <v>-2.2310008571493336E-4</v>
      </c>
      <c r="G45" s="18">
        <f t="shared" si="20"/>
        <v>-4482.2811118888585</v>
      </c>
      <c r="I45" s="17">
        <f t="shared" si="21"/>
        <v>-1E-4</v>
      </c>
      <c r="J45" s="18">
        <f t="shared" si="22"/>
        <v>-2762.5000000000009</v>
      </c>
      <c r="L45" s="17">
        <f>AP26/1000</f>
        <v>0</v>
      </c>
      <c r="M45" s="18">
        <f>AQ26*1000</f>
        <v>0</v>
      </c>
      <c r="AF45" s="87"/>
      <c r="AK45" s="87"/>
      <c r="AO45" s="87"/>
    </row>
    <row r="46" spans="3:53" x14ac:dyDescent="0.25">
      <c r="C46" s="17">
        <f t="shared" si="17"/>
        <v>-2.9477171738916618E-4</v>
      </c>
      <c r="D46" s="18">
        <f t="shared" si="18"/>
        <v>-6535.5054322411279</v>
      </c>
      <c r="F46" s="17">
        <f t="shared" si="19"/>
        <v>-4.4620017142986673E-4</v>
      </c>
      <c r="G46" s="18">
        <f t="shared" si="20"/>
        <v>-8515.9411068579811</v>
      </c>
      <c r="I46" s="17">
        <f t="shared" si="21"/>
        <v>-2.0000000000000001E-4</v>
      </c>
      <c r="J46" s="18">
        <f t="shared" si="22"/>
        <v>-5383.3333333333321</v>
      </c>
      <c r="L46" s="17">
        <f>AP27/1000</f>
        <v>2.1739130434782609E-3</v>
      </c>
      <c r="M46" s="18">
        <f>AQ27*1000</f>
        <v>434782.60869565216</v>
      </c>
      <c r="AF46" s="87"/>
      <c r="AK46" s="87"/>
      <c r="AL46" s="87"/>
      <c r="AM46" s="87"/>
      <c r="AN46" s="87"/>
      <c r="AO46" s="87"/>
    </row>
    <row r="47" spans="3:53" ht="15.75" thickBot="1" x14ac:dyDescent="0.3">
      <c r="C47" s="17">
        <f t="shared" si="17"/>
        <v>-4.4215757608374927E-4</v>
      </c>
      <c r="D47" s="18">
        <f t="shared" si="18"/>
        <v>-9545.2776707732228</v>
      </c>
      <c r="F47" s="17">
        <f t="shared" si="19"/>
        <v>-6.6930025714480009E-4</v>
      </c>
      <c r="G47" s="18">
        <f t="shared" si="20"/>
        <v>-12142.199690215813</v>
      </c>
      <c r="I47" s="17">
        <f t="shared" si="21"/>
        <v>-3.0000000000000003E-4</v>
      </c>
      <c r="J47" s="18">
        <f t="shared" si="22"/>
        <v>-7862.5000000000018</v>
      </c>
      <c r="L47" s="19">
        <f>AP28/1000</f>
        <v>4.4999999999999998E-2</v>
      </c>
      <c r="M47" s="20">
        <f>AQ28*1000</f>
        <v>434782.60869565216</v>
      </c>
    </row>
    <row r="48" spans="3:53" ht="15.75" thickBot="1" x14ac:dyDescent="0.3">
      <c r="C48" s="17">
        <f t="shared" si="17"/>
        <v>-5.8954343477833236E-4</v>
      </c>
      <c r="D48" s="18">
        <f t="shared" si="18"/>
        <v>-12383.06292424634</v>
      </c>
      <c r="F48" s="17">
        <f t="shared" si="19"/>
        <v>-8.9240034285973345E-4</v>
      </c>
      <c r="G48" s="18">
        <f t="shared" si="20"/>
        <v>-15397.376892090464</v>
      </c>
      <c r="I48" s="17">
        <f t="shared" si="21"/>
        <v>-4.0000000000000002E-4</v>
      </c>
      <c r="J48" s="18">
        <f t="shared" si="22"/>
        <v>-10199.999999999996</v>
      </c>
    </row>
    <row r="49" spans="3:13" x14ac:dyDescent="0.25">
      <c r="C49" s="17">
        <f t="shared" si="17"/>
        <v>-7.3692929347291545E-4</v>
      </c>
      <c r="D49" s="18">
        <f t="shared" si="18"/>
        <v>-15048.861192660481</v>
      </c>
      <c r="F49" s="17">
        <f t="shared" si="19"/>
        <v>-1.1155004285746668E-3</v>
      </c>
      <c r="G49" s="18">
        <f t="shared" si="20"/>
        <v>-18313.600071478537</v>
      </c>
      <c r="I49" s="17">
        <f t="shared" si="21"/>
        <v>-5.0000000000000001E-4</v>
      </c>
      <c r="J49" s="18">
        <f t="shared" si="22"/>
        <v>-12395.833333333334</v>
      </c>
      <c r="L49" s="148" t="s">
        <v>132</v>
      </c>
      <c r="M49" s="149"/>
    </row>
    <row r="50" spans="3:13" x14ac:dyDescent="0.25">
      <c r="C50" s="17">
        <f t="shared" si="17"/>
        <v>-8.8431515216749854E-4</v>
      </c>
      <c r="D50" s="18">
        <f t="shared" si="18"/>
        <v>-17542.672476015647</v>
      </c>
      <c r="F50" s="17">
        <f t="shared" si="19"/>
        <v>-1.3386005142896002E-3</v>
      </c>
      <c r="G50" s="18">
        <f t="shared" si="20"/>
        <v>-20919.3919326668</v>
      </c>
      <c r="I50" s="17">
        <f t="shared" si="21"/>
        <v>-5.9999999999999995E-4</v>
      </c>
      <c r="J50" s="18">
        <f t="shared" si="22"/>
        <v>-14450.000000000002</v>
      </c>
      <c r="L50" s="150"/>
      <c r="M50" s="151"/>
    </row>
    <row r="51" spans="3:13" ht="18.75" thickBot="1" x14ac:dyDescent="0.3">
      <c r="C51" s="17">
        <f t="shared" si="17"/>
        <v>-1.0317010108620817E-3</v>
      </c>
      <c r="D51" s="18">
        <f t="shared" si="18"/>
        <v>-19864.49677431184</v>
      </c>
      <c r="F51" s="17">
        <f t="shared" si="19"/>
        <v>-1.5617006000045338E-3</v>
      </c>
      <c r="G51" s="18">
        <f t="shared" si="20"/>
        <v>-23240.162279575325</v>
      </c>
      <c r="I51" s="17">
        <f t="shared" si="21"/>
        <v>-6.9999999999999999E-4</v>
      </c>
      <c r="J51" s="18">
        <f t="shared" si="22"/>
        <v>-16362.499999999996</v>
      </c>
      <c r="L51" s="79" t="s">
        <v>34</v>
      </c>
      <c r="M51" s="80" t="s">
        <v>77</v>
      </c>
    </row>
    <row r="52" spans="3:13" ht="15.75" thickTop="1" x14ac:dyDescent="0.25">
      <c r="C52" s="17">
        <f t="shared" si="17"/>
        <v>-1.1790868695566647E-3</v>
      </c>
      <c r="D52" s="18">
        <f t="shared" si="18"/>
        <v>-22014.33408754905</v>
      </c>
      <c r="F52" s="17">
        <f t="shared" si="19"/>
        <v>-1.7848006857194671E-3</v>
      </c>
      <c r="G52" s="18">
        <f t="shared" si="20"/>
        <v>-25298.621404893012</v>
      </c>
      <c r="I52" s="17">
        <f t="shared" si="21"/>
        <v>-7.9999999999999993E-4</v>
      </c>
      <c r="J52" s="18">
        <f t="shared" si="22"/>
        <v>-18133.333333333328</v>
      </c>
      <c r="L52" s="81" t="s">
        <v>17</v>
      </c>
      <c r="M52" s="82" t="s">
        <v>15</v>
      </c>
    </row>
    <row r="53" spans="3:13" x14ac:dyDescent="0.25">
      <c r="C53" s="17">
        <f t="shared" si="17"/>
        <v>-1.3264727282512479E-3</v>
      </c>
      <c r="D53" s="18">
        <f t="shared" si="18"/>
        <v>-23992.18441572729</v>
      </c>
      <c r="F53" s="17">
        <f t="shared" si="19"/>
        <v>-2.0079007714344007E-3</v>
      </c>
      <c r="G53" s="18">
        <f t="shared" si="20"/>
        <v>-27115.129306571933</v>
      </c>
      <c r="I53" s="17">
        <f t="shared" si="21"/>
        <v>-8.9999999999999987E-4</v>
      </c>
      <c r="J53" s="18">
        <f t="shared" si="22"/>
        <v>-19762.5</v>
      </c>
      <c r="L53" s="17">
        <f>AS24/1000</f>
        <v>-4.4999999999999998E-2</v>
      </c>
      <c r="M53" s="18">
        <f>AT24*1000</f>
        <v>-469565.21739130438</v>
      </c>
    </row>
    <row r="54" spans="3:13" x14ac:dyDescent="0.25">
      <c r="C54" s="17">
        <f t="shared" si="17"/>
        <v>-1.4738585869458309E-3</v>
      </c>
      <c r="D54" s="18">
        <f t="shared" si="18"/>
        <v>-25798.04775884654</v>
      </c>
      <c r="F54" s="17">
        <f t="shared" si="19"/>
        <v>-2.2310008571493341E-3</v>
      </c>
      <c r="G54" s="18">
        <f t="shared" si="20"/>
        <v>-28707.992060747369</v>
      </c>
      <c r="I54" s="17">
        <f t="shared" si="21"/>
        <v>-9.999999999999998E-4</v>
      </c>
      <c r="J54" s="18">
        <f t="shared" si="22"/>
        <v>-21250</v>
      </c>
      <c r="L54" s="17">
        <f t="shared" ref="L54:L57" si="23">AS25/1000</f>
        <v>-2.1739130434782613E-3</v>
      </c>
      <c r="M54" s="18">
        <f t="shared" ref="M54:M57" si="24">AT25*1000</f>
        <v>-434782.60869565216</v>
      </c>
    </row>
    <row r="55" spans="3:13" x14ac:dyDescent="0.25">
      <c r="C55" s="17">
        <f t="shared" si="17"/>
        <v>-1.6212444456404141E-3</v>
      </c>
      <c r="D55" s="18">
        <f t="shared" si="18"/>
        <v>-27431.924116906815</v>
      </c>
      <c r="F55" s="17">
        <f t="shared" si="19"/>
        <v>-2.4541009428642674E-3</v>
      </c>
      <c r="G55" s="18">
        <f t="shared" si="20"/>
        <v>-30093.714450620893</v>
      </c>
      <c r="I55" s="17">
        <f t="shared" si="21"/>
        <v>-1.0999999999999998E-3</v>
      </c>
      <c r="J55" s="18">
        <f t="shared" si="22"/>
        <v>-22595.833333333328</v>
      </c>
      <c r="L55" s="17">
        <f t="shared" si="23"/>
        <v>0</v>
      </c>
      <c r="M55" s="18">
        <f t="shared" si="24"/>
        <v>0</v>
      </c>
    </row>
    <row r="56" spans="3:13" x14ac:dyDescent="0.25">
      <c r="C56" s="17">
        <f t="shared" si="17"/>
        <v>-1.7686303043349971E-3</v>
      </c>
      <c r="D56" s="18">
        <f t="shared" si="18"/>
        <v>-28893.813489908127</v>
      </c>
      <c r="F56" s="17">
        <f t="shared" si="19"/>
        <v>-2.6772010285792008E-3</v>
      </c>
      <c r="G56" s="18">
        <f t="shared" si="20"/>
        <v>-31287.216203074524</v>
      </c>
      <c r="I56" s="17">
        <f t="shared" si="21"/>
        <v>-1.1999999999999999E-3</v>
      </c>
      <c r="J56" s="18">
        <f t="shared" si="22"/>
        <v>-23799.999999999996</v>
      </c>
      <c r="L56" s="17">
        <f t="shared" si="23"/>
        <v>2.1739130434782613E-3</v>
      </c>
      <c r="M56" s="18">
        <f t="shared" si="24"/>
        <v>434782.60869565216</v>
      </c>
    </row>
    <row r="57" spans="3:13" ht="15.75" thickBot="1" x14ac:dyDescent="0.3">
      <c r="C57" s="17">
        <f t="shared" si="17"/>
        <v>-1.9160161630295803E-3</v>
      </c>
      <c r="D57" s="18">
        <f t="shared" si="18"/>
        <v>-30183.715877850456</v>
      </c>
      <c r="F57" s="17">
        <f t="shared" si="19"/>
        <v>-2.9003011142941346E-3</v>
      </c>
      <c r="G57" s="18">
        <f t="shared" si="20"/>
        <v>-32302.017805819582</v>
      </c>
      <c r="I57" s="17">
        <f t="shared" si="21"/>
        <v>-1.2999999999999999E-3</v>
      </c>
      <c r="J57" s="18">
        <f t="shared" si="22"/>
        <v>-24862.499999999996</v>
      </c>
      <c r="L57" s="19">
        <f t="shared" si="23"/>
        <v>4.4999999999999998E-2</v>
      </c>
      <c r="M57" s="20">
        <f t="shared" si="24"/>
        <v>469565.21739130438</v>
      </c>
    </row>
    <row r="58" spans="3:13" x14ac:dyDescent="0.25">
      <c r="C58" s="17">
        <f t="shared" si="17"/>
        <v>-2.0634020217241635E-3</v>
      </c>
      <c r="D58" s="18">
        <f t="shared" si="18"/>
        <v>-31301.6312807338</v>
      </c>
      <c r="F58" s="17">
        <f t="shared" si="19"/>
        <v>-3.1234012000090679E-3</v>
      </c>
      <c r="G58" s="18">
        <f t="shared" si="20"/>
        <v>-33150.400783237012</v>
      </c>
      <c r="I58" s="17">
        <f t="shared" si="21"/>
        <v>-1.4000000000000002E-3</v>
      </c>
      <c r="J58" s="18">
        <f t="shared" si="22"/>
        <v>-25783.333333333332</v>
      </c>
    </row>
    <row r="59" spans="3:13" x14ac:dyDescent="0.25">
      <c r="C59" s="17">
        <f t="shared" si="17"/>
        <v>-2.2107878804187467E-3</v>
      </c>
      <c r="D59" s="18">
        <f t="shared" si="18"/>
        <v>-32247.559698558176</v>
      </c>
      <c r="F59" s="17">
        <f t="shared" si="19"/>
        <v>-3.3465012857240013E-3</v>
      </c>
      <c r="G59" s="18">
        <f t="shared" si="20"/>
        <v>-33843.546435058437</v>
      </c>
      <c r="I59" s="17">
        <f t="shared" si="21"/>
        <v>-1.5000000000000002E-3</v>
      </c>
      <c r="J59" s="18">
        <f t="shared" si="22"/>
        <v>-26562.5</v>
      </c>
    </row>
    <row r="60" spans="3:13" x14ac:dyDescent="0.25">
      <c r="C60" s="17">
        <f t="shared" si="17"/>
        <v>-2.3581737391133294E-3</v>
      </c>
      <c r="D60" s="18">
        <f t="shared" si="18"/>
        <v>-33021.501131323566</v>
      </c>
      <c r="F60" s="17">
        <f t="shared" si="19"/>
        <v>-3.5696013714389347E-3</v>
      </c>
      <c r="G60" s="18">
        <f t="shared" si="20"/>
        <v>-34391.656340339709</v>
      </c>
      <c r="I60" s="17">
        <f t="shared" si="21"/>
        <v>-1.6000000000000003E-3</v>
      </c>
      <c r="J60" s="18">
        <f t="shared" si="22"/>
        <v>-27200.000000000004</v>
      </c>
    </row>
    <row r="61" spans="3:13" x14ac:dyDescent="0.25">
      <c r="C61" s="17">
        <f t="shared" si="17"/>
        <v>-2.5055595978079122E-3</v>
      </c>
      <c r="D61" s="18">
        <f t="shared" si="18"/>
        <v>-33623.455579029986</v>
      </c>
      <c r="F61" s="17">
        <f t="shared" si="19"/>
        <v>-3.792701457153868E-3</v>
      </c>
      <c r="G61" s="18">
        <f t="shared" si="20"/>
        <v>-34804.05736285312</v>
      </c>
      <c r="I61" s="17">
        <f t="shared" si="21"/>
        <v>-1.7000000000000003E-3</v>
      </c>
      <c r="J61" s="18">
        <f t="shared" si="22"/>
        <v>-27695.833333333328</v>
      </c>
    </row>
    <row r="62" spans="3:13" x14ac:dyDescent="0.25">
      <c r="C62" s="17">
        <f t="shared" si="17"/>
        <v>-2.6529454565024954E-3</v>
      </c>
      <c r="D62" s="18">
        <f t="shared" si="18"/>
        <v>-34053.42304167743</v>
      </c>
      <c r="F62" s="17">
        <f t="shared" si="19"/>
        <v>-4.0158015428688014E-3</v>
      </c>
      <c r="G62" s="18">
        <f t="shared" si="20"/>
        <v>-35089.293434663763</v>
      </c>
      <c r="I62" s="17">
        <f t="shared" si="21"/>
        <v>-1.8000000000000004E-3</v>
      </c>
      <c r="J62" s="18">
        <f t="shared" si="22"/>
        <v>-28050</v>
      </c>
    </row>
    <row r="63" spans="3:13" x14ac:dyDescent="0.25">
      <c r="C63" s="17">
        <f t="shared" si="17"/>
        <v>-2.8003313151970782E-3</v>
      </c>
      <c r="D63" s="18">
        <f t="shared" si="18"/>
        <v>-34311.403519265899</v>
      </c>
      <c r="F63" s="17">
        <f t="shared" si="19"/>
        <v>-4.2389016285837343E-3</v>
      </c>
      <c r="G63" s="18">
        <f t="shared" si="20"/>
        <v>-35255.206020271537</v>
      </c>
      <c r="I63" s="17">
        <f t="shared" si="21"/>
        <v>-1.9000000000000006E-3</v>
      </c>
      <c r="J63" s="18">
        <f t="shared" si="22"/>
        <v>-28262.5</v>
      </c>
    </row>
    <row r="64" spans="3:13" x14ac:dyDescent="0.25">
      <c r="C64" s="17">
        <f t="shared" si="17"/>
        <v>-2.9477171738916609E-3</v>
      </c>
      <c r="D64" s="18">
        <f t="shared" si="18"/>
        <v>-34397.397011795387</v>
      </c>
      <c r="F64" s="17">
        <f t="shared" si="19"/>
        <v>-4.4620017142986681E-3</v>
      </c>
      <c r="G64" s="18">
        <f t="shared" si="20"/>
        <v>-35309.004857179549</v>
      </c>
      <c r="I64" s="17">
        <f t="shared" si="21"/>
        <v>-2.0000000000000005E-3</v>
      </c>
      <c r="J64" s="18">
        <f t="shared" si="22"/>
        <v>-28333.333333333332</v>
      </c>
    </row>
    <row r="65" spans="3:10" ht="15.75" thickBot="1" x14ac:dyDescent="0.3">
      <c r="C65" s="19">
        <f t="shared" si="17"/>
        <v>-1.2061031075475835E-2</v>
      </c>
      <c r="D65" s="20">
        <f t="shared" si="18"/>
        <v>-29237.787460026073</v>
      </c>
      <c r="F65" s="19">
        <f t="shared" si="19"/>
        <v>-2.117426957511382E-2</v>
      </c>
      <c r="G65" s="20">
        <f t="shared" si="20"/>
        <v>-30012.654128602619</v>
      </c>
      <c r="I65" s="19">
        <f t="shared" si="21"/>
        <v>-3.5000000000000001E-3</v>
      </c>
      <c r="J65" s="20">
        <f t="shared" si="22"/>
        <v>-28333.333333333332</v>
      </c>
    </row>
  </sheetData>
  <sheetProtection selectLockedCells="1" selectUnlockedCells="1"/>
  <dataConsolidate/>
  <mergeCells count="32">
    <mergeCell ref="C39:D40"/>
    <mergeCell ref="F39:G40"/>
    <mergeCell ref="I39:J40"/>
    <mergeCell ref="L39:M40"/>
    <mergeCell ref="L49:M50"/>
    <mergeCell ref="C37:M38"/>
    <mergeCell ref="J16:J17"/>
    <mergeCell ref="AP21:AQ21"/>
    <mergeCell ref="AS21:AT21"/>
    <mergeCell ref="C23:E23"/>
    <mergeCell ref="F23:H23"/>
    <mergeCell ref="I23:K23"/>
    <mergeCell ref="D24:E26"/>
    <mergeCell ref="G24:H26"/>
    <mergeCell ref="J24:K26"/>
    <mergeCell ref="C28:F28"/>
    <mergeCell ref="H28:K28"/>
    <mergeCell ref="C8:C9"/>
    <mergeCell ref="AP10:AQ10"/>
    <mergeCell ref="AS10:AT10"/>
    <mergeCell ref="C12:H12"/>
    <mergeCell ref="AB12:AE12"/>
    <mergeCell ref="AG12:AJ12"/>
    <mergeCell ref="AL12:AN12"/>
    <mergeCell ref="AP12:AQ12"/>
    <mergeCell ref="AS12:AT12"/>
    <mergeCell ref="C1:D1"/>
    <mergeCell ref="C2:Q2"/>
    <mergeCell ref="C3:C4"/>
    <mergeCell ref="D3:D4"/>
    <mergeCell ref="C7:J7"/>
    <mergeCell ref="L7:N7"/>
  </mergeCells>
  <conditionalFormatting sqref="D24:E26">
    <cfRule type="containsText" dxfId="17" priority="3" operator="containsText" text="Pass">
      <formula>NOT(ISERROR(SEARCH("Pass",D24)))</formula>
    </cfRule>
  </conditionalFormatting>
  <conditionalFormatting sqref="G24:H26">
    <cfRule type="containsText" dxfId="16" priority="2" operator="containsText" text="Pass">
      <formula>NOT(ISERROR(SEARCH("Pass",G24)))</formula>
    </cfRule>
  </conditionalFormatting>
  <conditionalFormatting sqref="J24:K26">
    <cfRule type="containsText" dxfId="15"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A04EAD86-4FB1-47DC-88DB-37F3D12715C0}">
          <x14:formula1>
            <xm:f>Data!$G$23:$G$24</xm:f>
          </x14:formula1>
          <xm:sqref>H15</xm:sqref>
        </x14:dataValidation>
        <x14:dataValidation type="list" showInputMessage="1" showErrorMessage="1" xr:uid="{EA2D4DC3-5716-4FF3-B738-F7311B5C22C7}">
          <x14:formula1>
            <xm:f>Data!$F$23:$F$24</xm:f>
          </x14:formula1>
          <xm:sqref>J18</xm:sqref>
        </x14:dataValidation>
        <x14:dataValidation type="list" allowBlank="1" showInputMessage="1" showErrorMessage="1" xr:uid="{6C2761D1-E92E-43DA-9C72-CD7452329568}">
          <x14:formula1>
            <xm:f>Data!$E$23:$E$29</xm:f>
          </x14:formula1>
          <xm:sqref>D21</xm:sqref>
        </x14:dataValidation>
        <x14:dataValidation type="list" allowBlank="1" showInputMessage="1" showErrorMessage="1" xr:uid="{90ABC8F2-D365-4BE1-940A-CD0C5473B396}">
          <x14:formula1>
            <xm:f>Data!$D$23:$D$29</xm:f>
          </x14:formula1>
          <xm:sqref>D18:E18</xm:sqref>
        </x14:dataValidation>
        <x14:dataValidation type="list" allowBlank="1" showInputMessage="1" showErrorMessage="1" xr:uid="{9CDDD1B6-66CE-4AA6-BD4B-C7EA9BEEBE08}">
          <x14:formula1>
            <xm:f>Data!$C$23:$C$33</xm:f>
          </x14:formula1>
          <xm:sqref>C18 C21</xm:sqref>
        </x14:dataValidation>
        <x14:dataValidation type="list" allowBlank="1" showInputMessage="1" showErrorMessage="1" xr:uid="{6AC636EF-9C0C-45FC-8F4E-4003ADD0C33F}">
          <x14:formula1>
            <xm:f>Data!$C$5:$C$13</xm:f>
          </x14:formula1>
          <xm:sqref>C5</xm:sqref>
        </x14:dataValidation>
        <x14:dataValidation type="list" allowBlank="1" showInputMessage="1" showErrorMessage="1" xr:uid="{69E6F0B2-21A4-4DD2-B36E-28080075222B}">
          <x14:formula1>
            <xm:f>Data!$C$18:$C$20</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F6D5E-0E71-4DBD-989F-10091AE6D9BB}">
  <dimension ref="C1:BA65"/>
  <sheetViews>
    <sheetView topLeftCell="M13" zoomScaleNormal="100" workbookViewId="0">
      <selection activeCell="I26" sqref="I26"/>
    </sheetView>
  </sheetViews>
  <sheetFormatPr defaultRowHeight="15" x14ac:dyDescent="0.25"/>
  <cols>
    <col min="1" max="2" width="9.7109375" style="90" customWidth="1"/>
    <col min="3" max="17" width="12.7109375" style="90" customWidth="1"/>
    <col min="18" max="46" width="10.7109375" style="90" customWidth="1"/>
    <col min="47" max="16384" width="9.140625" style="90"/>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VLOOKUP('WR3-05'!C5,Data!C5:P13,11,FALSE)</f>
        <v>2</v>
      </c>
      <c r="N5" s="8">
        <f>VLOOKUP(C5,Data!C5:P13,12,FALSE)</f>
        <v>1.75</v>
      </c>
      <c r="O5" s="8">
        <f>VLOOKUP(C5,Data!C5:P13,13,FALSE)</f>
        <v>3.5</v>
      </c>
      <c r="P5" s="8">
        <f>VLOOKUP(C5,Data!C5:P13,14,FALSE)</f>
        <v>2.4324324324324325</v>
      </c>
      <c r="Q5" s="41">
        <f>1.05*H5*I31/H31</f>
        <v>2.4292471801627014</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86" t="s">
        <v>44</v>
      </c>
      <c r="E8" s="86" t="s">
        <v>45</v>
      </c>
      <c r="F8" s="86"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88"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87"/>
      <c r="AG14" s="38" t="s">
        <v>17</v>
      </c>
      <c r="AH14" s="48" t="s">
        <v>14</v>
      </c>
      <c r="AI14" s="48" t="s">
        <v>15</v>
      </c>
      <c r="AJ14" s="48" t="s">
        <v>15</v>
      </c>
      <c r="AK14" s="87"/>
      <c r="AL14" s="38" t="s">
        <v>17</v>
      </c>
      <c r="AM14" s="48" t="s">
        <v>15</v>
      </c>
      <c r="AN14" s="48" t="s">
        <v>15</v>
      </c>
      <c r="AO14" s="87"/>
      <c r="AP14" s="38" t="s">
        <v>17</v>
      </c>
      <c r="AQ14" s="48" t="s">
        <v>15</v>
      </c>
      <c r="AR14" s="87"/>
      <c r="AS14" s="38" t="s">
        <v>17</v>
      </c>
      <c r="AT14" s="48" t="s">
        <v>15</v>
      </c>
    </row>
    <row r="15" spans="3:53" ht="16.5" thickTop="1" thickBot="1" x14ac:dyDescent="0.3">
      <c r="C15" s="61">
        <v>500</v>
      </c>
      <c r="D15" s="62">
        <v>1220</v>
      </c>
      <c r="E15" s="62">
        <v>35</v>
      </c>
      <c r="F15" s="22">
        <f>C15-2*E15-C21</f>
        <v>422</v>
      </c>
      <c r="G15" s="22">
        <f>D15-2*E15-C21</f>
        <v>1142</v>
      </c>
      <c r="H15" s="63" t="s">
        <v>108</v>
      </c>
      <c r="AB15" s="7">
        <v>-0.1</v>
      </c>
      <c r="AC15" s="7">
        <v>0</v>
      </c>
      <c r="AD15" s="7">
        <v>-0.1</v>
      </c>
      <c r="AE15" s="7">
        <f>-0.1</f>
        <v>-0.1</v>
      </c>
      <c r="AF15" s="87"/>
      <c r="AG15" s="7">
        <v>-0.1</v>
      </c>
      <c r="AH15" s="7">
        <v>0</v>
      </c>
      <c r="AI15" s="7">
        <v>-0.1</v>
      </c>
      <c r="AJ15" s="7">
        <f>-0.1</f>
        <v>-0.1</v>
      </c>
      <c r="AK15" s="87"/>
      <c r="AL15" s="7">
        <v>-0.1</v>
      </c>
      <c r="AM15" s="7">
        <v>-0.1</v>
      </c>
      <c r="AN15" s="7">
        <f>-0.1</f>
        <v>-0.1</v>
      </c>
      <c r="AO15" s="87"/>
      <c r="AP15" s="7">
        <f>-1*J10</f>
        <v>-45</v>
      </c>
      <c r="AQ15" s="7">
        <f>-D10</f>
        <v>-500</v>
      </c>
      <c r="AR15" s="87"/>
      <c r="AS15" s="7">
        <f>-1*J10</f>
        <v>-45</v>
      </c>
      <c r="AT15" s="7">
        <f>-1*E10</f>
        <v>-540</v>
      </c>
      <c r="AV15" s="90">
        <f>$K$5</f>
        <v>2</v>
      </c>
      <c r="AW15" s="90">
        <f t="shared" ref="AW15:AW37" si="0">$AB$36</f>
        <v>2.6636793319959211</v>
      </c>
      <c r="AX15" s="90">
        <f t="shared" ref="AX15:AX37" si="1">$AL$37</f>
        <v>3.5</v>
      </c>
      <c r="AY15" s="90">
        <f t="shared" ref="AY15:AY37" si="2">$AB$37</f>
        <v>9.6621432084423251</v>
      </c>
      <c r="AZ15" s="90">
        <f t="shared" ref="AZ15:AZ37" si="3">$AG$37</f>
        <v>16.994157207968332</v>
      </c>
      <c r="BA15" s="90">
        <f t="shared" ref="BA15:BA37" si="4">$AI$36</f>
        <v>59.278019245676319</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AB16" s="86">
        <v>0</v>
      </c>
      <c r="AC16" s="86">
        <f t="shared" ref="AC16:AC36" si="5">AB16/$D$31</f>
        <v>0</v>
      </c>
      <c r="AD16" s="86">
        <f t="shared" ref="AD16:AD36" si="6">IF(AB16&lt;=$AB$36,$C$31*(1-(1-AB16/$AB$36)^$M$5),$C$31)</f>
        <v>0</v>
      </c>
      <c r="AE16" s="86">
        <f>AD16*$N$10/$L$10</f>
        <v>0</v>
      </c>
      <c r="AF16" s="87"/>
      <c r="AG16" s="86">
        <v>0</v>
      </c>
      <c r="AH16" s="86">
        <f t="shared" ref="AH16:AH36" si="7">AG16/$I$31</f>
        <v>0</v>
      </c>
      <c r="AI16" s="86">
        <f t="shared" ref="AI16:AI36" si="8">IF(AG16&lt;=$AG$36,$H$31*AH16*($Q$5-AH16)/(1+($Q$5-2)*AH16))</f>
        <v>0</v>
      </c>
      <c r="AJ16" s="86">
        <f>AI16*$N$10/$L$10</f>
        <v>0</v>
      </c>
      <c r="AK16" s="87"/>
      <c r="AL16" s="86">
        <v>0</v>
      </c>
      <c r="AM16" s="86">
        <f t="shared" ref="AM16:AM36" si="9">$E$5*(1-(1-AL16/$K$5)^$M$5)</f>
        <v>0</v>
      </c>
      <c r="AN16" s="86">
        <f t="shared" ref="AN16:AN37" si="10">AM16*$N$10/$L$10</f>
        <v>0</v>
      </c>
      <c r="AO16" s="87"/>
      <c r="AP16" s="86">
        <f>-1*D10/G10</f>
        <v>-2.5</v>
      </c>
      <c r="AQ16" s="86">
        <f>AQ15</f>
        <v>-500</v>
      </c>
      <c r="AR16" s="87"/>
      <c r="AS16" s="86">
        <f>-1*H10</f>
        <v>-2.5</v>
      </c>
      <c r="AT16" s="86">
        <f>-1*D10</f>
        <v>-500</v>
      </c>
      <c r="AV16" s="90">
        <f t="shared" ref="AV16:AV37" si="11">$K$5</f>
        <v>2</v>
      </c>
      <c r="AW16" s="90">
        <f t="shared" si="0"/>
        <v>2.6636793319959211</v>
      </c>
      <c r="AX16" s="90">
        <f t="shared" si="1"/>
        <v>3.5</v>
      </c>
      <c r="AY16" s="90">
        <f t="shared" si="2"/>
        <v>9.6621432084423251</v>
      </c>
      <c r="AZ16" s="90">
        <f t="shared" si="3"/>
        <v>16.994157207968332</v>
      </c>
      <c r="BA16" s="90">
        <f t="shared" si="4"/>
        <v>59.278019245676319</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AB17" s="86">
        <f t="shared" ref="AB17:AB36" si="12">AB16+$D$31/20</f>
        <v>0.13318396659979609</v>
      </c>
      <c r="AC17" s="86">
        <f t="shared" si="5"/>
        <v>4.9999999999999996E-2</v>
      </c>
      <c r="AD17" s="86">
        <f t="shared" si="6"/>
        <v>5.6260112035289103</v>
      </c>
      <c r="AE17" s="86">
        <f t="shared" ref="AE17:AE37" si="13">AD17*$N$10/$L$10</f>
        <v>3.1880730153330492</v>
      </c>
      <c r="AF17" s="87"/>
      <c r="AG17" s="86">
        <f t="shared" ref="AG17:AG36" si="14">AG16+$I$31/20</f>
        <v>0.19278019245676317</v>
      </c>
      <c r="AH17" s="86">
        <f t="shared" si="7"/>
        <v>0.05</v>
      </c>
      <c r="AI17" s="86">
        <f t="shared" si="8"/>
        <v>6.9036836694039394</v>
      </c>
      <c r="AJ17" s="86">
        <f t="shared" ref="AJ17:AJ37" si="15">AI17*$N$10/$L$10</f>
        <v>3.9120874126622325</v>
      </c>
      <c r="AK17" s="87"/>
      <c r="AL17" s="86">
        <f t="shared" ref="AL17:AL36" si="16">AL16+$K$5/20</f>
        <v>0.1</v>
      </c>
      <c r="AM17" s="86">
        <f t="shared" si="9"/>
        <v>4.8750000000000018</v>
      </c>
      <c r="AN17" s="86">
        <f t="shared" si="10"/>
        <v>2.7625000000000011</v>
      </c>
      <c r="AO17" s="87"/>
      <c r="AP17" s="86">
        <f>0</f>
        <v>0</v>
      </c>
      <c r="AQ17" s="86">
        <f>0</f>
        <v>0</v>
      </c>
      <c r="AR17" s="87"/>
      <c r="AS17" s="86">
        <f>0</f>
        <v>0</v>
      </c>
      <c r="AT17" s="86">
        <f>0</f>
        <v>0</v>
      </c>
      <c r="AV17" s="90">
        <f t="shared" si="11"/>
        <v>2</v>
      </c>
      <c r="AW17" s="90">
        <f t="shared" si="0"/>
        <v>2.6636793319959211</v>
      </c>
      <c r="AX17" s="90">
        <f t="shared" si="1"/>
        <v>3.5</v>
      </c>
      <c r="AY17" s="90">
        <f t="shared" si="2"/>
        <v>9.6621432084423251</v>
      </c>
      <c r="AZ17" s="90">
        <f t="shared" si="3"/>
        <v>16.994157207968332</v>
      </c>
      <c r="BA17" s="90">
        <f t="shared" si="4"/>
        <v>59.278019245676319</v>
      </c>
    </row>
    <row r="18" spans="3:53" ht="16.5" thickTop="1" thickBot="1" x14ac:dyDescent="0.3">
      <c r="C18" s="61">
        <v>16</v>
      </c>
      <c r="D18" s="62">
        <v>200</v>
      </c>
      <c r="E18" s="62">
        <v>200</v>
      </c>
      <c r="F18" s="21">
        <f>IF(ROUND(F15/D18,0)*D18&lt;F15-C18-C21,ROUND(F15/D18,0)+1,ROUND(F15/D18,0))</f>
        <v>2</v>
      </c>
      <c r="G18" s="21">
        <f>IF(ROUND(G15/E18,0)*E18&lt;G15-C18-C21,ROUND(G15/E18,0)+1,ROUND(G15/E18,0))</f>
        <v>6</v>
      </c>
      <c r="H18" s="22">
        <f>(F15-C21-C18)/F18</f>
        <v>199</v>
      </c>
      <c r="I18" s="22">
        <f>(G15-C21-C18)/G18</f>
        <v>186.33333333333334</v>
      </c>
      <c r="J18" s="67" t="s">
        <v>98</v>
      </c>
      <c r="K18" s="22">
        <f>IF(J18="Min",IF(D18=200,H18,IF(2*H18&lt;=200,2*H18,H18)),IF(J18="Max",H18))</f>
        <v>199</v>
      </c>
      <c r="L18" s="22">
        <f>IF(J18="Min",IF(E18=200,I18,IF(2*I18&lt;=200,2*I18,I18)),IF(J18="Max",I18))</f>
        <v>186.33333333333334</v>
      </c>
      <c r="M18" s="21">
        <f>IF(K18=H18,F18,F18/2)</f>
        <v>2</v>
      </c>
      <c r="N18" s="83">
        <f>IF(L18=I18,G18,G18/2)</f>
        <v>6</v>
      </c>
      <c r="O18" s="27"/>
      <c r="P18" s="27"/>
      <c r="Q18" s="27"/>
      <c r="R18" s="27"/>
      <c r="S18" s="27"/>
      <c r="T18" s="27"/>
      <c r="U18" s="27"/>
      <c r="V18" s="27"/>
      <c r="AB18" s="86">
        <f t="shared" si="12"/>
        <v>0.26636793319959218</v>
      </c>
      <c r="AC18" s="86">
        <f t="shared" si="5"/>
        <v>9.9999999999999992E-2</v>
      </c>
      <c r="AD18" s="86">
        <f t="shared" si="6"/>
        <v>10.96350901200505</v>
      </c>
      <c r="AE18" s="86">
        <f t="shared" si="13"/>
        <v>6.2126551068028606</v>
      </c>
      <c r="AF18" s="87"/>
      <c r="AG18" s="86">
        <f t="shared" si="14"/>
        <v>0.38556038491352634</v>
      </c>
      <c r="AH18" s="86">
        <f t="shared" si="7"/>
        <v>0.1</v>
      </c>
      <c r="AI18" s="86">
        <f t="shared" si="8"/>
        <v>13.239034111325751</v>
      </c>
      <c r="AJ18" s="86">
        <f t="shared" si="15"/>
        <v>7.5021193297512587</v>
      </c>
      <c r="AK18" s="87"/>
      <c r="AL18" s="86">
        <f t="shared" si="16"/>
        <v>0.2</v>
      </c>
      <c r="AM18" s="86">
        <f t="shared" si="9"/>
        <v>9.4999999999999964</v>
      </c>
      <c r="AN18" s="86">
        <f t="shared" si="10"/>
        <v>5.383333333333332</v>
      </c>
      <c r="AO18" s="87"/>
      <c r="AP18" s="86">
        <f>-1*AP16</f>
        <v>2.5</v>
      </c>
      <c r="AQ18" s="86">
        <f>-1*AQ16</f>
        <v>500</v>
      </c>
      <c r="AR18" s="87"/>
      <c r="AS18" s="86">
        <f>H10</f>
        <v>2.5</v>
      </c>
      <c r="AT18" s="86">
        <f>D10</f>
        <v>500</v>
      </c>
      <c r="AV18" s="90">
        <f t="shared" si="11"/>
        <v>2</v>
      </c>
      <c r="AW18" s="90">
        <f t="shared" si="0"/>
        <v>2.6636793319959211</v>
      </c>
      <c r="AX18" s="90">
        <f t="shared" si="1"/>
        <v>3.5</v>
      </c>
      <c r="AY18" s="90">
        <f t="shared" si="2"/>
        <v>9.6621432084423251</v>
      </c>
      <c r="AZ18" s="90">
        <f t="shared" si="3"/>
        <v>16.994157207968332</v>
      </c>
      <c r="BA18" s="90">
        <f t="shared" si="4"/>
        <v>59.278019245676319</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AB19" s="86">
        <f t="shared" si="12"/>
        <v>0.39955189979938827</v>
      </c>
      <c r="AC19" s="86">
        <f t="shared" si="5"/>
        <v>0.15</v>
      </c>
      <c r="AD19" s="86">
        <f t="shared" si="6"/>
        <v>16.012493425428435</v>
      </c>
      <c r="AE19" s="86">
        <f t="shared" si="13"/>
        <v>9.0737462744094461</v>
      </c>
      <c r="AF19" s="87"/>
      <c r="AG19" s="86">
        <f t="shared" si="14"/>
        <v>0.57834057737028954</v>
      </c>
      <c r="AH19" s="86">
        <f t="shared" si="7"/>
        <v>0.15000000000000002</v>
      </c>
      <c r="AI19" s="86">
        <f t="shared" si="8"/>
        <v>19.040431032249401</v>
      </c>
      <c r="AJ19" s="86">
        <f t="shared" si="15"/>
        <v>10.789577584941327</v>
      </c>
      <c r="AK19" s="87"/>
      <c r="AL19" s="86">
        <f>AL18+$K$5/20</f>
        <v>0.30000000000000004</v>
      </c>
      <c r="AM19" s="86">
        <f t="shared" si="9"/>
        <v>13.875000000000004</v>
      </c>
      <c r="AN19" s="86">
        <f t="shared" si="10"/>
        <v>7.8625000000000016</v>
      </c>
      <c r="AO19" s="87"/>
      <c r="AP19" s="86">
        <f>-1*AP15</f>
        <v>45</v>
      </c>
      <c r="AQ19" s="86">
        <f>AQ18</f>
        <v>500</v>
      </c>
      <c r="AR19" s="87"/>
      <c r="AS19" s="86">
        <f>J10</f>
        <v>45</v>
      </c>
      <c r="AT19" s="86">
        <f>E10</f>
        <v>540</v>
      </c>
      <c r="AV19" s="90">
        <f t="shared" si="11"/>
        <v>2</v>
      </c>
      <c r="AW19" s="90">
        <f t="shared" si="0"/>
        <v>2.6636793319959211</v>
      </c>
      <c r="AX19" s="90">
        <f t="shared" si="1"/>
        <v>3.5</v>
      </c>
      <c r="AY19" s="90">
        <f t="shared" si="2"/>
        <v>9.6621432084423251</v>
      </c>
      <c r="AZ19" s="90">
        <f t="shared" si="3"/>
        <v>16.994157207968332</v>
      </c>
      <c r="BA19" s="90">
        <f t="shared" si="4"/>
        <v>59.278019245676319</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AB20" s="86">
        <f t="shared" si="12"/>
        <v>0.53273586639918435</v>
      </c>
      <c r="AC20" s="86">
        <f t="shared" si="5"/>
        <v>0.19999999999999998</v>
      </c>
      <c r="AD20" s="86">
        <f t="shared" si="6"/>
        <v>20.772964443799051</v>
      </c>
      <c r="AE20" s="86">
        <f t="shared" si="13"/>
        <v>11.771346518152795</v>
      </c>
      <c r="AF20" s="87"/>
      <c r="AG20" s="86">
        <f t="shared" si="14"/>
        <v>0.77112076982705269</v>
      </c>
      <c r="AH20" s="86">
        <f t="shared" si="7"/>
        <v>0.2</v>
      </c>
      <c r="AI20" s="86">
        <f t="shared" si="8"/>
        <v>24.339536010054008</v>
      </c>
      <c r="AJ20" s="86">
        <f t="shared" si="15"/>
        <v>13.792403739030604</v>
      </c>
      <c r="AK20" s="87"/>
      <c r="AL20" s="86">
        <f t="shared" si="16"/>
        <v>0.4</v>
      </c>
      <c r="AM20" s="86">
        <f t="shared" si="9"/>
        <v>17.999999999999993</v>
      </c>
      <c r="AN20" s="86">
        <f t="shared" si="10"/>
        <v>10.199999999999996</v>
      </c>
      <c r="AO20" s="87"/>
      <c r="AV20" s="90">
        <f t="shared" si="11"/>
        <v>2</v>
      </c>
      <c r="AW20" s="90">
        <f t="shared" si="0"/>
        <v>2.6636793319959211</v>
      </c>
      <c r="AX20" s="90">
        <f t="shared" si="1"/>
        <v>3.5</v>
      </c>
      <c r="AY20" s="90">
        <f t="shared" si="2"/>
        <v>9.6621432084423251</v>
      </c>
      <c r="AZ20" s="90">
        <f t="shared" si="3"/>
        <v>16.994157207968332</v>
      </c>
      <c r="BA20" s="90">
        <f t="shared" si="4"/>
        <v>59.278019245676319</v>
      </c>
    </row>
    <row r="21" spans="3:53" ht="16.5" thickTop="1" thickBot="1" x14ac:dyDescent="0.3">
      <c r="C21" s="61">
        <v>8</v>
      </c>
      <c r="D21" s="62">
        <v>100</v>
      </c>
      <c r="E21" s="22">
        <f>(N18+1)*C21^2*PI()/4</f>
        <v>351.85837720205683</v>
      </c>
      <c r="F21" s="22">
        <f>(M18+1)*C21^2*PI()/4</f>
        <v>150.79644737231007</v>
      </c>
      <c r="G21" s="22">
        <f>E21/(D21*G15)*100</f>
        <v>0.30810716042211628</v>
      </c>
      <c r="H21" s="22">
        <f>F21/(D21*F15)*100</f>
        <v>0.35733755301495279</v>
      </c>
      <c r="I21" s="22">
        <f>1-(M18*2*(K18^2)+N18*2*(L18^2))/(6*F15*G15)</f>
        <v>0.80112862424596221</v>
      </c>
      <c r="J21" s="22">
        <f>(1-D21/(2*F15))*(1-D21/(2*G15))</f>
        <v>0.84292129049393683</v>
      </c>
      <c r="K21" s="22">
        <f>I21*J21</f>
        <v>0.67528837380103868</v>
      </c>
      <c r="L21" s="22">
        <f>2*MIN(G21,H21)</f>
        <v>0.61621432084423255</v>
      </c>
      <c r="M21" s="22">
        <f>L21/100*D10/E5</f>
        <v>6.162143208442325E-2</v>
      </c>
      <c r="N21" s="23">
        <f>0.5*M21*E5</f>
        <v>1.5405358021105813</v>
      </c>
      <c r="O21" s="27"/>
      <c r="P21" s="27"/>
      <c r="Q21" s="27"/>
      <c r="R21" s="27"/>
      <c r="S21" s="27"/>
      <c r="T21" s="27"/>
      <c r="U21" s="27"/>
      <c r="V21" s="27"/>
      <c r="AB21" s="86">
        <f t="shared" si="12"/>
        <v>0.66591983299898039</v>
      </c>
      <c r="AC21" s="86">
        <f t="shared" si="5"/>
        <v>0.24999999999999994</v>
      </c>
      <c r="AD21" s="86">
        <f t="shared" si="6"/>
        <v>25.244922067116896</v>
      </c>
      <c r="AE21" s="86">
        <f t="shared" si="13"/>
        <v>14.305455838032907</v>
      </c>
      <c r="AF21" s="87"/>
      <c r="AG21" s="86">
        <f t="shared" si="14"/>
        <v>0.96390096228381583</v>
      </c>
      <c r="AH21" s="86">
        <f t="shared" si="7"/>
        <v>0.25</v>
      </c>
      <c r="AI21" s="86">
        <f t="shared" si="8"/>
        <v>29.165555913279423</v>
      </c>
      <c r="AJ21" s="86">
        <f t="shared" si="15"/>
        <v>16.52714835085834</v>
      </c>
      <c r="AK21" s="87"/>
      <c r="AL21" s="86">
        <f t="shared" si="16"/>
        <v>0.5</v>
      </c>
      <c r="AM21" s="86">
        <f t="shared" si="9"/>
        <v>21.875</v>
      </c>
      <c r="AN21" s="86">
        <f t="shared" si="10"/>
        <v>12.395833333333334</v>
      </c>
      <c r="AO21" s="87"/>
      <c r="AP21" s="133" t="s">
        <v>70</v>
      </c>
      <c r="AQ21" s="133"/>
      <c r="AR21" s="53"/>
      <c r="AS21" s="133" t="s">
        <v>70</v>
      </c>
      <c r="AT21" s="133"/>
      <c r="AV21" s="90">
        <f t="shared" si="11"/>
        <v>2</v>
      </c>
      <c r="AW21" s="90">
        <f t="shared" si="0"/>
        <v>2.6636793319959211</v>
      </c>
      <c r="AX21" s="90">
        <f t="shared" si="1"/>
        <v>3.5</v>
      </c>
      <c r="AY21" s="90">
        <f t="shared" si="2"/>
        <v>9.6621432084423251</v>
      </c>
      <c r="AZ21" s="90">
        <f t="shared" si="3"/>
        <v>16.994157207968332</v>
      </c>
      <c r="BA21" s="90">
        <f t="shared" si="4"/>
        <v>59.278019245676319</v>
      </c>
    </row>
    <row r="22" spans="3:53" ht="18.75" thickBot="1" x14ac:dyDescent="0.3">
      <c r="AB22" s="86">
        <f t="shared" si="12"/>
        <v>0.79910379959877642</v>
      </c>
      <c r="AC22" s="86">
        <f t="shared" si="5"/>
        <v>0.29999999999999993</v>
      </c>
      <c r="AD22" s="86">
        <f t="shared" si="6"/>
        <v>29.428366295381984</v>
      </c>
      <c r="AE22" s="86">
        <f t="shared" si="13"/>
        <v>16.676074234049789</v>
      </c>
      <c r="AF22" s="87"/>
      <c r="AG22" s="86">
        <f t="shared" si="14"/>
        <v>1.1566811547405791</v>
      </c>
      <c r="AH22" s="86">
        <f t="shared" si="7"/>
        <v>0.30000000000000004</v>
      </c>
      <c r="AI22" s="86">
        <f t="shared" si="8"/>
        <v>33.545476268682016</v>
      </c>
      <c r="AJ22" s="86">
        <f t="shared" si="15"/>
        <v>19.009103218919808</v>
      </c>
      <c r="AK22" s="87"/>
      <c r="AL22" s="86">
        <f t="shared" si="16"/>
        <v>0.6</v>
      </c>
      <c r="AM22" s="86">
        <f t="shared" si="9"/>
        <v>25.5</v>
      </c>
      <c r="AN22" s="86">
        <f t="shared" si="10"/>
        <v>14.450000000000001</v>
      </c>
      <c r="AO22" s="87"/>
      <c r="AP22" s="45" t="s">
        <v>34</v>
      </c>
      <c r="AQ22" s="45" t="s">
        <v>72</v>
      </c>
      <c r="AR22" s="57"/>
      <c r="AS22" s="45" t="s">
        <v>34</v>
      </c>
      <c r="AT22" s="45" t="s">
        <v>72</v>
      </c>
      <c r="AV22" s="90">
        <f t="shared" si="11"/>
        <v>2</v>
      </c>
      <c r="AW22" s="90">
        <f t="shared" si="0"/>
        <v>2.6636793319959211</v>
      </c>
      <c r="AX22" s="90">
        <f t="shared" si="1"/>
        <v>3.5</v>
      </c>
      <c r="AY22" s="90">
        <f t="shared" si="2"/>
        <v>9.6621432084423251</v>
      </c>
      <c r="AZ22" s="90">
        <f t="shared" si="3"/>
        <v>16.994157207968332</v>
      </c>
      <c r="BA22" s="90">
        <f t="shared" si="4"/>
        <v>59.278019245676319</v>
      </c>
    </row>
    <row r="23" spans="3:53" ht="15.75" thickBot="1" x14ac:dyDescent="0.3">
      <c r="C23" s="146" t="s">
        <v>110</v>
      </c>
      <c r="D23" s="140"/>
      <c r="E23" s="141"/>
      <c r="F23" s="139" t="s">
        <v>111</v>
      </c>
      <c r="G23" s="140"/>
      <c r="H23" s="141"/>
      <c r="I23" s="139" t="s">
        <v>112</v>
      </c>
      <c r="J23" s="140"/>
      <c r="K23" s="141"/>
      <c r="AB23" s="86">
        <f t="shared" si="12"/>
        <v>0.93228776619857245</v>
      </c>
      <c r="AC23" s="86">
        <f t="shared" si="5"/>
        <v>0.34999999999999992</v>
      </c>
      <c r="AD23" s="86">
        <f t="shared" si="6"/>
        <v>33.323297128594312</v>
      </c>
      <c r="AE23" s="86">
        <f t="shared" si="13"/>
        <v>18.883201706203444</v>
      </c>
      <c r="AF23" s="87"/>
      <c r="AG23" s="86">
        <f t="shared" si="14"/>
        <v>1.3494613471973422</v>
      </c>
      <c r="AH23" s="86">
        <f t="shared" si="7"/>
        <v>0.35000000000000003</v>
      </c>
      <c r="AI23" s="86">
        <f t="shared" si="8"/>
        <v>37.504268502242638</v>
      </c>
      <c r="AJ23" s="86">
        <f t="shared" si="15"/>
        <v>21.252418817937492</v>
      </c>
      <c r="AK23" s="87"/>
      <c r="AL23" s="86">
        <f t="shared" si="16"/>
        <v>0.7</v>
      </c>
      <c r="AM23" s="86">
        <f t="shared" si="9"/>
        <v>28.874999999999996</v>
      </c>
      <c r="AN23" s="86">
        <f t="shared" si="10"/>
        <v>16.362499999999997</v>
      </c>
      <c r="AO23" s="87"/>
      <c r="AP23" s="38" t="s">
        <v>17</v>
      </c>
      <c r="AQ23" s="48" t="s">
        <v>15</v>
      </c>
      <c r="AR23" s="87"/>
      <c r="AS23" s="38" t="s">
        <v>17</v>
      </c>
      <c r="AT23" s="48" t="s">
        <v>15</v>
      </c>
      <c r="AV23" s="90">
        <f t="shared" si="11"/>
        <v>2</v>
      </c>
      <c r="AW23" s="90">
        <f t="shared" si="0"/>
        <v>2.6636793319959211</v>
      </c>
      <c r="AX23" s="90">
        <f t="shared" si="1"/>
        <v>3.5</v>
      </c>
      <c r="AY23" s="90">
        <f t="shared" si="2"/>
        <v>9.6621432084423251</v>
      </c>
      <c r="AZ23" s="90">
        <f t="shared" si="3"/>
        <v>16.994157207968332</v>
      </c>
      <c r="BA23" s="90">
        <f t="shared" si="4"/>
        <v>59.278019245676319</v>
      </c>
    </row>
    <row r="24" spans="3:53" ht="18.75" thickTop="1" x14ac:dyDescent="0.25">
      <c r="C24" s="44" t="s">
        <v>109</v>
      </c>
      <c r="D24" s="142" t="str">
        <f>IF(H15="Column",IF(C26&lt;0.01,"Increase RFT",IF(C26&gt;0.04,"Decrease RFT","Pass")),IF(H15="Wall",IF(C26&lt;0.005,"Increase RFT",IF(C26&gt;0.04,"Decrease RFT","Pass"))))</f>
        <v>Pass</v>
      </c>
      <c r="E24" s="143"/>
      <c r="F24" s="45" t="s">
        <v>82</v>
      </c>
      <c r="G24" s="142" t="str">
        <f>IF(D21&lt;MIN(F15/2,G15/2,175,8*C18),"Pass","Decrease Spacing")</f>
        <v>Pass</v>
      </c>
      <c r="H24" s="143"/>
      <c r="I24" s="45" t="s">
        <v>113</v>
      </c>
      <c r="J24" s="142" t="str">
        <f>IF(I26&gt;0.08,"Pass","Adjust Detail")</f>
        <v>Pass</v>
      </c>
      <c r="K24" s="143"/>
      <c r="AB24" s="86">
        <f t="shared" si="12"/>
        <v>1.0654717327983685</v>
      </c>
      <c r="AC24" s="86">
        <f t="shared" si="5"/>
        <v>0.39999999999999986</v>
      </c>
      <c r="AD24" s="86">
        <f t="shared" si="6"/>
        <v>36.929714566753859</v>
      </c>
      <c r="AE24" s="86">
        <f t="shared" si="13"/>
        <v>20.926838254493852</v>
      </c>
      <c r="AF24" s="87"/>
      <c r="AG24" s="86">
        <f t="shared" si="14"/>
        <v>1.5422415396541054</v>
      </c>
      <c r="AH24" s="86">
        <f t="shared" si="7"/>
        <v>0.4</v>
      </c>
      <c r="AI24" s="86">
        <f t="shared" si="8"/>
        <v>41.065074403600754</v>
      </c>
      <c r="AJ24" s="86">
        <f t="shared" si="15"/>
        <v>23.270208828707094</v>
      </c>
      <c r="AK24" s="87"/>
      <c r="AL24" s="86">
        <f t="shared" si="16"/>
        <v>0.79999999999999993</v>
      </c>
      <c r="AM24" s="86">
        <f t="shared" si="9"/>
        <v>31.999999999999996</v>
      </c>
      <c r="AN24" s="86">
        <f t="shared" si="10"/>
        <v>18.133333333333329</v>
      </c>
      <c r="AO24" s="87"/>
      <c r="AP24" s="7">
        <f>AP15</f>
        <v>-45</v>
      </c>
      <c r="AQ24" s="7">
        <f>-D10/M10</f>
        <v>-434.78260869565219</v>
      </c>
      <c r="AR24" s="87"/>
      <c r="AS24" s="7">
        <f>-1*J10</f>
        <v>-45</v>
      </c>
      <c r="AT24" s="7">
        <f>-1*E10/M10</f>
        <v>-469.56521739130437</v>
      </c>
      <c r="AV24" s="90">
        <f t="shared" si="11"/>
        <v>2</v>
      </c>
      <c r="AW24" s="90">
        <f t="shared" si="0"/>
        <v>2.6636793319959211</v>
      </c>
      <c r="AX24" s="90">
        <f t="shared" si="1"/>
        <v>3.5</v>
      </c>
      <c r="AY24" s="90">
        <f t="shared" si="2"/>
        <v>9.6621432084423251</v>
      </c>
      <c r="AZ24" s="90">
        <f t="shared" si="3"/>
        <v>16.994157207968332</v>
      </c>
      <c r="BA24" s="90">
        <f t="shared" si="4"/>
        <v>59.278019245676319</v>
      </c>
    </row>
    <row r="25" spans="3:53" x14ac:dyDescent="0.25">
      <c r="C25" s="71" t="s">
        <v>57</v>
      </c>
      <c r="D25" s="142"/>
      <c r="E25" s="143"/>
      <c r="F25" s="86" t="s">
        <v>31</v>
      </c>
      <c r="G25" s="142"/>
      <c r="H25" s="143"/>
      <c r="I25" s="86" t="s">
        <v>14</v>
      </c>
      <c r="J25" s="142"/>
      <c r="K25" s="143"/>
      <c r="AB25" s="86">
        <f t="shared" si="12"/>
        <v>1.1986556993981645</v>
      </c>
      <c r="AC25" s="86">
        <f t="shared" si="5"/>
        <v>0.44999999999999984</v>
      </c>
      <c r="AD25" s="86">
        <f t="shared" si="6"/>
        <v>40.247618609860652</v>
      </c>
      <c r="AE25" s="86">
        <f t="shared" si="13"/>
        <v>22.806983878921034</v>
      </c>
      <c r="AF25" s="87"/>
      <c r="AG25" s="86">
        <f t="shared" si="14"/>
        <v>1.7350217321108685</v>
      </c>
      <c r="AH25" s="86">
        <f t="shared" si="7"/>
        <v>0.45</v>
      </c>
      <c r="AI25" s="86">
        <f t="shared" si="8"/>
        <v>44.249370681820366</v>
      </c>
      <c r="AJ25" s="86">
        <f t="shared" si="15"/>
        <v>25.074643386364873</v>
      </c>
      <c r="AK25" s="87"/>
      <c r="AL25" s="86">
        <f t="shared" si="16"/>
        <v>0.89999999999999991</v>
      </c>
      <c r="AM25" s="86">
        <f t="shared" si="9"/>
        <v>34.875</v>
      </c>
      <c r="AN25" s="86">
        <f t="shared" si="10"/>
        <v>19.762499999999999</v>
      </c>
      <c r="AO25" s="87"/>
      <c r="AP25" s="86">
        <f>-D10/M10/G10</f>
        <v>-2.1739130434782608</v>
      </c>
      <c r="AQ25" s="86">
        <f>AQ24</f>
        <v>-434.78260869565219</v>
      </c>
      <c r="AR25" s="87"/>
      <c r="AS25" s="86">
        <f>-1*D10/G10/M10</f>
        <v>-2.1739130434782612</v>
      </c>
      <c r="AT25" s="86">
        <f>-1*D10/M10</f>
        <v>-434.78260869565219</v>
      </c>
      <c r="AV25" s="90">
        <f t="shared" si="11"/>
        <v>2</v>
      </c>
      <c r="AW25" s="90">
        <f t="shared" si="0"/>
        <v>2.6636793319959211</v>
      </c>
      <c r="AX25" s="90">
        <f t="shared" si="1"/>
        <v>3.5</v>
      </c>
      <c r="AY25" s="90">
        <f t="shared" si="2"/>
        <v>9.6621432084423251</v>
      </c>
      <c r="AZ25" s="90">
        <f t="shared" si="3"/>
        <v>16.994157207968332</v>
      </c>
      <c r="BA25" s="90">
        <f t="shared" si="4"/>
        <v>59.278019245676319</v>
      </c>
    </row>
    <row r="26" spans="3:53" ht="15.75" thickBot="1" x14ac:dyDescent="0.3">
      <c r="C26" s="72">
        <f>IF(G18=1,C18^2*PI()/4*2*(F18+1)/(C15*D15),C18^2*PI()/4*(2*(F18+1)+2*G18)/(C15*D15))</f>
        <v>5.9329749785826912E-3</v>
      </c>
      <c r="D26" s="144"/>
      <c r="E26" s="145"/>
      <c r="F26" s="34">
        <f>D21</f>
        <v>100</v>
      </c>
      <c r="G26" s="144"/>
      <c r="H26" s="145"/>
      <c r="I26" s="34">
        <f>L21/100*AQ28/AN37</f>
        <v>9.4559742329038243E-2</v>
      </c>
      <c r="J26" s="144"/>
      <c r="K26" s="145"/>
      <c r="AB26" s="86">
        <f t="shared" si="12"/>
        <v>1.3318396659979606</v>
      </c>
      <c r="AC26" s="86">
        <f t="shared" si="5"/>
        <v>0.49999999999999983</v>
      </c>
      <c r="AD26" s="86">
        <f t="shared" si="6"/>
        <v>43.277009257914678</v>
      </c>
      <c r="AE26" s="86">
        <f t="shared" si="13"/>
        <v>24.523638579484984</v>
      </c>
      <c r="AF26" s="87"/>
      <c r="AG26" s="86">
        <f t="shared" si="14"/>
        <v>1.9278019245676317</v>
      </c>
      <c r="AH26" s="86">
        <f t="shared" si="7"/>
        <v>0.5</v>
      </c>
      <c r="AI26" s="86">
        <f t="shared" si="8"/>
        <v>47.077116074985774</v>
      </c>
      <c r="AJ26" s="86">
        <f t="shared" si="15"/>
        <v>26.677032442491939</v>
      </c>
      <c r="AK26" s="87"/>
      <c r="AL26" s="86">
        <f t="shared" si="16"/>
        <v>0.99999999999999989</v>
      </c>
      <c r="AM26" s="86">
        <f t="shared" si="9"/>
        <v>37.5</v>
      </c>
      <c r="AN26" s="86">
        <f t="shared" si="10"/>
        <v>21.25</v>
      </c>
      <c r="AO26" s="87"/>
      <c r="AP26" s="86">
        <v>0</v>
      </c>
      <c r="AQ26" s="86">
        <f>0</f>
        <v>0</v>
      </c>
      <c r="AR26" s="87"/>
      <c r="AS26" s="86">
        <f>0</f>
        <v>0</v>
      </c>
      <c r="AT26" s="86">
        <f>0</f>
        <v>0</v>
      </c>
      <c r="AV26" s="90">
        <f t="shared" si="11"/>
        <v>2</v>
      </c>
      <c r="AW26" s="90">
        <f t="shared" si="0"/>
        <v>2.6636793319959211</v>
      </c>
      <c r="AX26" s="90">
        <f t="shared" si="1"/>
        <v>3.5</v>
      </c>
      <c r="AY26" s="90">
        <f t="shared" si="2"/>
        <v>9.6621432084423251</v>
      </c>
      <c r="AZ26" s="90">
        <f t="shared" si="3"/>
        <v>16.994157207968332</v>
      </c>
      <c r="BA26" s="90">
        <f t="shared" si="4"/>
        <v>59.278019245676319</v>
      </c>
    </row>
    <row r="27" spans="3:53" ht="15.75" thickBot="1" x14ac:dyDescent="0.3">
      <c r="AB27" s="86">
        <f t="shared" si="12"/>
        <v>1.4650236325977566</v>
      </c>
      <c r="AC27" s="86">
        <f t="shared" si="5"/>
        <v>0.54999999999999982</v>
      </c>
      <c r="AD27" s="86">
        <f t="shared" si="6"/>
        <v>46.01788651091595</v>
      </c>
      <c r="AE27" s="86">
        <f t="shared" si="13"/>
        <v>26.076802356185706</v>
      </c>
      <c r="AF27" s="87"/>
      <c r="AG27" s="86">
        <f t="shared" si="14"/>
        <v>2.1205821170243948</v>
      </c>
      <c r="AH27" s="86">
        <f t="shared" si="7"/>
        <v>0.55000000000000004</v>
      </c>
      <c r="AI27" s="86">
        <f t="shared" si="8"/>
        <v>49.566883134072114</v>
      </c>
      <c r="AJ27" s="86">
        <f t="shared" si="15"/>
        <v>28.087900442640862</v>
      </c>
      <c r="AK27" s="87"/>
      <c r="AL27" s="86">
        <f t="shared" si="16"/>
        <v>1.0999999999999999</v>
      </c>
      <c r="AM27" s="86">
        <f t="shared" si="9"/>
        <v>39.874999999999993</v>
      </c>
      <c r="AN27" s="86">
        <f t="shared" si="10"/>
        <v>22.595833333333328</v>
      </c>
      <c r="AO27" s="87"/>
      <c r="AP27" s="86">
        <f>-AP25</f>
        <v>2.1739130434782608</v>
      </c>
      <c r="AQ27" s="86">
        <f>-AQ25</f>
        <v>434.78260869565219</v>
      </c>
      <c r="AR27" s="87"/>
      <c r="AS27" s="86">
        <f>D10/G10/M10</f>
        <v>2.1739130434782612</v>
      </c>
      <c r="AT27" s="86">
        <f>D10/M10</f>
        <v>434.78260869565219</v>
      </c>
      <c r="AV27" s="90">
        <f t="shared" si="11"/>
        <v>2</v>
      </c>
      <c r="AW27" s="90">
        <f t="shared" si="0"/>
        <v>2.6636793319959211</v>
      </c>
      <c r="AX27" s="90">
        <f t="shared" si="1"/>
        <v>3.5</v>
      </c>
      <c r="AY27" s="90">
        <f t="shared" si="2"/>
        <v>9.6621432084423251</v>
      </c>
      <c r="AZ27" s="90">
        <f t="shared" si="3"/>
        <v>16.994157207968332</v>
      </c>
      <c r="BA27" s="90">
        <f t="shared" si="4"/>
        <v>59.278019245676319</v>
      </c>
    </row>
    <row r="28" spans="3:53" x14ac:dyDescent="0.25">
      <c r="C28" s="129" t="s">
        <v>91</v>
      </c>
      <c r="D28" s="130"/>
      <c r="E28" s="130"/>
      <c r="F28" s="131"/>
      <c r="H28" s="129" t="s">
        <v>92</v>
      </c>
      <c r="I28" s="130"/>
      <c r="J28" s="130"/>
      <c r="K28" s="131"/>
      <c r="AB28" s="86">
        <f t="shared" si="12"/>
        <v>1.5982075991975526</v>
      </c>
      <c r="AC28" s="86">
        <f t="shared" si="5"/>
        <v>0.59999999999999976</v>
      </c>
      <c r="AD28" s="86">
        <f t="shared" si="6"/>
        <v>48.470250368864441</v>
      </c>
      <c r="AE28" s="86">
        <f t="shared" si="13"/>
        <v>27.466475209023184</v>
      </c>
      <c r="AF28" s="87"/>
      <c r="AG28" s="86">
        <f t="shared" si="14"/>
        <v>2.3133623094811582</v>
      </c>
      <c r="AH28" s="86">
        <f t="shared" si="7"/>
        <v>0.60000000000000009</v>
      </c>
      <c r="AI28" s="86">
        <f t="shared" si="8"/>
        <v>51.73597651202099</v>
      </c>
      <c r="AJ28" s="86">
        <f t="shared" si="15"/>
        <v>29.317053356811893</v>
      </c>
      <c r="AK28" s="87"/>
      <c r="AL28" s="86">
        <f t="shared" si="16"/>
        <v>1.2</v>
      </c>
      <c r="AM28" s="86">
        <f t="shared" si="9"/>
        <v>42</v>
      </c>
      <c r="AN28" s="86">
        <f t="shared" si="10"/>
        <v>23.799999999999997</v>
      </c>
      <c r="AO28" s="87"/>
      <c r="AP28" s="86">
        <f>-AP24</f>
        <v>45</v>
      </c>
      <c r="AQ28" s="86">
        <f>-AQ25</f>
        <v>434.78260869565219</v>
      </c>
      <c r="AR28" s="87"/>
      <c r="AS28" s="86">
        <f>J10</f>
        <v>45</v>
      </c>
      <c r="AT28" s="86">
        <f>E10/M10</f>
        <v>469.56521739130437</v>
      </c>
      <c r="AV28" s="90">
        <f t="shared" si="11"/>
        <v>2</v>
      </c>
      <c r="AW28" s="90">
        <f t="shared" si="0"/>
        <v>2.6636793319959211</v>
      </c>
      <c r="AX28" s="90">
        <f t="shared" si="1"/>
        <v>3.5</v>
      </c>
      <c r="AY28" s="90">
        <f t="shared" si="2"/>
        <v>9.6621432084423251</v>
      </c>
      <c r="AZ28" s="90">
        <f t="shared" si="3"/>
        <v>16.994157207968332</v>
      </c>
      <c r="BA28" s="90">
        <f t="shared" si="4"/>
        <v>59.278019245676319</v>
      </c>
    </row>
    <row r="29" spans="3:53" x14ac:dyDescent="0.25">
      <c r="C29" s="73" t="s">
        <v>61</v>
      </c>
      <c r="D29" s="3" t="s">
        <v>62</v>
      </c>
      <c r="E29" s="3" t="s">
        <v>63</v>
      </c>
      <c r="F29" s="74" t="s">
        <v>66</v>
      </c>
      <c r="H29" s="73" t="s">
        <v>61</v>
      </c>
      <c r="I29" s="3" t="s">
        <v>62</v>
      </c>
      <c r="J29" s="3" t="s">
        <v>63</v>
      </c>
      <c r="K29" s="74" t="s">
        <v>66</v>
      </c>
      <c r="AB29" s="86">
        <f t="shared" si="12"/>
        <v>1.7313915657973487</v>
      </c>
      <c r="AC29" s="86">
        <f t="shared" si="5"/>
        <v>0.6499999999999998</v>
      </c>
      <c r="AD29" s="86">
        <f t="shared" si="6"/>
        <v>50.634100831760179</v>
      </c>
      <c r="AE29" s="86">
        <f t="shared" si="13"/>
        <v>28.692657137997433</v>
      </c>
      <c r="AF29" s="87"/>
      <c r="AG29" s="86">
        <f t="shared" si="14"/>
        <v>2.5061425019379215</v>
      </c>
      <c r="AH29" s="86">
        <f t="shared" si="7"/>
        <v>0.65000000000000013</v>
      </c>
      <c r="AI29" s="86">
        <f t="shared" si="8"/>
        <v>53.60053934316123</v>
      </c>
      <c r="AJ29" s="86">
        <f t="shared" si="15"/>
        <v>30.373638961124698</v>
      </c>
      <c r="AK29" s="87"/>
      <c r="AL29" s="86">
        <f t="shared" si="16"/>
        <v>1.3</v>
      </c>
      <c r="AM29" s="86">
        <f t="shared" si="9"/>
        <v>43.875</v>
      </c>
      <c r="AN29" s="86">
        <f t="shared" si="10"/>
        <v>24.862499999999997</v>
      </c>
      <c r="AO29" s="87"/>
      <c r="AV29" s="90">
        <f t="shared" si="11"/>
        <v>2</v>
      </c>
      <c r="AW29" s="90">
        <f t="shared" si="0"/>
        <v>2.6636793319959211</v>
      </c>
      <c r="AX29" s="90">
        <f t="shared" si="1"/>
        <v>3.5</v>
      </c>
      <c r="AY29" s="90">
        <f t="shared" si="2"/>
        <v>9.6621432084423251</v>
      </c>
      <c r="AZ29" s="90">
        <f t="shared" si="3"/>
        <v>16.994157207968332</v>
      </c>
      <c r="BA29" s="90">
        <f t="shared" si="4"/>
        <v>59.278019245676319</v>
      </c>
    </row>
    <row r="30" spans="3:53" ht="15.75" thickBot="1" x14ac:dyDescent="0.3">
      <c r="C30" s="75" t="s">
        <v>15</v>
      </c>
      <c r="D30" s="38" t="s">
        <v>17</v>
      </c>
      <c r="E30" s="38" t="s">
        <v>17</v>
      </c>
      <c r="F30" s="76" t="s">
        <v>15</v>
      </c>
      <c r="H30" s="75" t="s">
        <v>15</v>
      </c>
      <c r="I30" s="38" t="s">
        <v>17</v>
      </c>
      <c r="J30" s="38" t="s">
        <v>17</v>
      </c>
      <c r="K30" s="76" t="s">
        <v>15</v>
      </c>
      <c r="AB30" s="86">
        <f t="shared" si="12"/>
        <v>1.8645755323971447</v>
      </c>
      <c r="AC30" s="86">
        <f t="shared" si="5"/>
        <v>0.69999999999999973</v>
      </c>
      <c r="AD30" s="86">
        <f t="shared" si="6"/>
        <v>52.509437899603142</v>
      </c>
      <c r="AE30" s="86">
        <f t="shared" si="13"/>
        <v>29.755348143108446</v>
      </c>
      <c r="AF30" s="87"/>
      <c r="AG30" s="86">
        <f t="shared" si="14"/>
        <v>2.6989226943946849</v>
      </c>
      <c r="AH30" s="86">
        <f t="shared" si="7"/>
        <v>0.70000000000000018</v>
      </c>
      <c r="AI30" s="86">
        <f t="shared" si="8"/>
        <v>55.175649088831825</v>
      </c>
      <c r="AJ30" s="86">
        <f t="shared" si="15"/>
        <v>31.266201150338034</v>
      </c>
      <c r="AK30" s="87"/>
      <c r="AL30" s="86">
        <f t="shared" si="16"/>
        <v>1.4000000000000001</v>
      </c>
      <c r="AM30" s="86">
        <f t="shared" si="9"/>
        <v>45.5</v>
      </c>
      <c r="AN30" s="86">
        <f t="shared" si="10"/>
        <v>25.783333333333331</v>
      </c>
      <c r="AO30" s="87"/>
      <c r="AV30" s="90">
        <f t="shared" si="11"/>
        <v>2</v>
      </c>
      <c r="AW30" s="90">
        <f t="shared" si="0"/>
        <v>2.6636793319959211</v>
      </c>
      <c r="AX30" s="90">
        <f t="shared" si="1"/>
        <v>3.5</v>
      </c>
      <c r="AY30" s="90">
        <f t="shared" si="2"/>
        <v>9.6621432084423251</v>
      </c>
      <c r="AZ30" s="90">
        <f t="shared" si="3"/>
        <v>16.994157207968332</v>
      </c>
      <c r="BA30" s="90">
        <f t="shared" si="4"/>
        <v>59.278019245676319</v>
      </c>
    </row>
    <row r="31" spans="3:53" ht="15.75" customHeight="1" thickTop="1" thickBot="1" x14ac:dyDescent="0.3">
      <c r="C31" s="9">
        <f>IF(N21&lt;=0.05*E5,E5*(1+5*N21/E5),E5*(1.125+2.5*N21/E5))</f>
        <v>57.702679010552906</v>
      </c>
      <c r="D31" s="10">
        <f>K5*(C31/E5)^2</f>
        <v>2.663679331995922</v>
      </c>
      <c r="E31" s="11">
        <f>L5+0.2*N21/E5*1000</f>
        <v>9.6621432084423251</v>
      </c>
      <c r="F31" s="89">
        <f>$N$10*C31/L10</f>
        <v>32.698184772646648</v>
      </c>
      <c r="H31" s="9">
        <f>$E$5*(1+3.7*(N21/E5)^0.86)</f>
        <v>59.278019245676319</v>
      </c>
      <c r="I31" s="10">
        <f>$K$5*(1+5*(H31/E5-1))</f>
        <v>3.8556038491352633</v>
      </c>
      <c r="J31" s="11">
        <f>(4/1000+0.5*N21/H31)*1000</f>
        <v>16.994157207968332</v>
      </c>
      <c r="K31" s="89">
        <f>H31*N10/L10</f>
        <v>33.590877572549914</v>
      </c>
      <c r="AB31" s="86">
        <f t="shared" si="12"/>
        <v>1.9977594989969407</v>
      </c>
      <c r="AC31" s="86">
        <f t="shared" si="5"/>
        <v>0.74999999999999967</v>
      </c>
      <c r="AD31" s="86">
        <f t="shared" si="6"/>
        <v>54.096261572393352</v>
      </c>
      <c r="AE31" s="86">
        <f t="shared" si="13"/>
        <v>30.654548224356233</v>
      </c>
      <c r="AF31" s="87"/>
      <c r="AG31" s="86">
        <f t="shared" si="14"/>
        <v>2.8917028868514483</v>
      </c>
      <c r="AH31" s="86">
        <f t="shared" si="7"/>
        <v>0.75000000000000022</v>
      </c>
      <c r="AI31" s="86">
        <f t="shared" si="8"/>
        <v>56.475404046361732</v>
      </c>
      <c r="AJ31" s="86">
        <f t="shared" si="15"/>
        <v>32.00272895960498</v>
      </c>
      <c r="AK31" s="87"/>
      <c r="AL31" s="86">
        <f t="shared" si="16"/>
        <v>1.5000000000000002</v>
      </c>
      <c r="AM31" s="86">
        <f t="shared" si="9"/>
        <v>46.875</v>
      </c>
      <c r="AN31" s="86">
        <f t="shared" si="10"/>
        <v>26.5625</v>
      </c>
      <c r="AO31" s="87"/>
      <c r="AV31" s="90">
        <f t="shared" si="11"/>
        <v>2</v>
      </c>
      <c r="AW31" s="90">
        <f t="shared" si="0"/>
        <v>2.6636793319959211</v>
      </c>
      <c r="AX31" s="90">
        <f t="shared" si="1"/>
        <v>3.5</v>
      </c>
      <c r="AY31" s="90">
        <f t="shared" si="2"/>
        <v>9.6621432084423251</v>
      </c>
      <c r="AZ31" s="90">
        <f t="shared" si="3"/>
        <v>16.994157207968332</v>
      </c>
      <c r="BA31" s="90">
        <f t="shared" si="4"/>
        <v>59.278019245676319</v>
      </c>
    </row>
    <row r="32" spans="3:53" ht="15.75" customHeight="1" x14ac:dyDescent="0.25">
      <c r="AB32" s="86">
        <f t="shared" si="12"/>
        <v>2.130943465596737</v>
      </c>
      <c r="AC32" s="86">
        <f t="shared" si="5"/>
        <v>0.79999999999999971</v>
      </c>
      <c r="AD32" s="86">
        <f t="shared" si="6"/>
        <v>55.394571850130788</v>
      </c>
      <c r="AE32" s="86">
        <f t="shared" si="13"/>
        <v>31.390257381740781</v>
      </c>
      <c r="AF32" s="87"/>
      <c r="AG32" s="86">
        <f t="shared" si="14"/>
        <v>3.0844830793082116</v>
      </c>
      <c r="AH32" s="86">
        <f t="shared" si="7"/>
        <v>0.80000000000000027</v>
      </c>
      <c r="AI32" s="86">
        <f t="shared" si="8"/>
        <v>57.513001565553346</v>
      </c>
      <c r="AJ32" s="86">
        <f t="shared" si="15"/>
        <v>32.590700887146895</v>
      </c>
      <c r="AK32" s="87"/>
      <c r="AL32" s="86">
        <f t="shared" si="16"/>
        <v>1.6000000000000003</v>
      </c>
      <c r="AM32" s="86">
        <f t="shared" si="9"/>
        <v>48.000000000000007</v>
      </c>
      <c r="AN32" s="86">
        <f t="shared" si="10"/>
        <v>27.200000000000003</v>
      </c>
      <c r="AO32" s="87"/>
      <c r="AV32" s="90">
        <f t="shared" si="11"/>
        <v>2</v>
      </c>
      <c r="AW32" s="90">
        <f t="shared" si="0"/>
        <v>2.6636793319959211</v>
      </c>
      <c r="AX32" s="90">
        <f t="shared" si="1"/>
        <v>3.5</v>
      </c>
      <c r="AY32" s="90">
        <f t="shared" si="2"/>
        <v>9.6621432084423251</v>
      </c>
      <c r="AZ32" s="90">
        <f t="shared" si="3"/>
        <v>16.994157207968332</v>
      </c>
      <c r="BA32" s="90">
        <f t="shared" si="4"/>
        <v>59.278019245676319</v>
      </c>
    </row>
    <row r="33" spans="3:53" ht="15.75" customHeight="1" x14ac:dyDescent="0.25">
      <c r="AB33" s="86">
        <f t="shared" si="12"/>
        <v>2.264127432196533</v>
      </c>
      <c r="AC33" s="86">
        <f t="shared" si="5"/>
        <v>0.84999999999999976</v>
      </c>
      <c r="AD33" s="86">
        <f t="shared" si="6"/>
        <v>56.40436873281547</v>
      </c>
      <c r="AE33" s="86">
        <f t="shared" si="13"/>
        <v>31.962475615262097</v>
      </c>
      <c r="AF33" s="87"/>
      <c r="AG33" s="86">
        <f t="shared" si="14"/>
        <v>3.277263271764975</v>
      </c>
      <c r="AH33" s="86">
        <f t="shared" si="7"/>
        <v>0.85000000000000031</v>
      </c>
      <c r="AI33" s="86">
        <f t="shared" si="8"/>
        <v>58.300808885463624</v>
      </c>
      <c r="AJ33" s="86">
        <f t="shared" si="15"/>
        <v>33.037125035096054</v>
      </c>
      <c r="AK33" s="87"/>
      <c r="AL33" s="86">
        <f t="shared" si="16"/>
        <v>1.7000000000000004</v>
      </c>
      <c r="AM33" s="86">
        <f t="shared" si="9"/>
        <v>48.875</v>
      </c>
      <c r="AN33" s="86">
        <f t="shared" si="10"/>
        <v>27.695833333333329</v>
      </c>
      <c r="AO33" s="87"/>
      <c r="AV33" s="90">
        <f t="shared" si="11"/>
        <v>2</v>
      </c>
      <c r="AW33" s="90">
        <f t="shared" si="0"/>
        <v>2.6636793319959211</v>
      </c>
      <c r="AX33" s="90">
        <f t="shared" si="1"/>
        <v>3.5</v>
      </c>
      <c r="AY33" s="90">
        <f t="shared" si="2"/>
        <v>9.6621432084423251</v>
      </c>
      <c r="AZ33" s="90">
        <f t="shared" si="3"/>
        <v>16.994157207968332</v>
      </c>
      <c r="BA33" s="90">
        <f t="shared" si="4"/>
        <v>59.278019245676319</v>
      </c>
    </row>
    <row r="34" spans="3:53" ht="16.5" customHeight="1" x14ac:dyDescent="0.25">
      <c r="AB34" s="86">
        <f t="shared" si="12"/>
        <v>2.397311398796329</v>
      </c>
      <c r="AC34" s="86">
        <f t="shared" si="5"/>
        <v>0.89999999999999969</v>
      </c>
      <c r="AD34" s="86">
        <f t="shared" si="6"/>
        <v>57.125652220447378</v>
      </c>
      <c r="AE34" s="86">
        <f t="shared" si="13"/>
        <v>32.371202924920176</v>
      </c>
      <c r="AF34" s="87"/>
      <c r="AG34" s="86">
        <f t="shared" si="14"/>
        <v>3.4700434642217384</v>
      </c>
      <c r="AH34" s="86">
        <f t="shared" si="7"/>
        <v>0.90000000000000036</v>
      </c>
      <c r="AI34" s="86">
        <f t="shared" si="8"/>
        <v>58.850427391224962</v>
      </c>
      <c r="AJ34" s="86">
        <f t="shared" si="15"/>
        <v>33.348575521694144</v>
      </c>
      <c r="AK34" s="87"/>
      <c r="AL34" s="86">
        <f t="shared" si="16"/>
        <v>1.8000000000000005</v>
      </c>
      <c r="AM34" s="86">
        <f t="shared" si="9"/>
        <v>49.500000000000007</v>
      </c>
      <c r="AN34" s="86">
        <f t="shared" si="10"/>
        <v>28.05</v>
      </c>
      <c r="AO34" s="87"/>
      <c r="AV34" s="90">
        <f t="shared" si="11"/>
        <v>2</v>
      </c>
      <c r="AW34" s="90">
        <f t="shared" si="0"/>
        <v>2.6636793319959211</v>
      </c>
      <c r="AX34" s="90">
        <f t="shared" si="1"/>
        <v>3.5</v>
      </c>
      <c r="AY34" s="90">
        <f t="shared" si="2"/>
        <v>9.6621432084423251</v>
      </c>
      <c r="AZ34" s="90">
        <f t="shared" si="3"/>
        <v>16.994157207968332</v>
      </c>
      <c r="BA34" s="90">
        <f t="shared" si="4"/>
        <v>59.278019245676319</v>
      </c>
    </row>
    <row r="35" spans="3:53" x14ac:dyDescent="0.25">
      <c r="AB35" s="86">
        <f t="shared" si="12"/>
        <v>2.5304953653961251</v>
      </c>
      <c r="AC35" s="86">
        <f t="shared" si="5"/>
        <v>0.94999999999999973</v>
      </c>
      <c r="AD35" s="86">
        <f t="shared" si="6"/>
        <v>57.558422313026519</v>
      </c>
      <c r="AE35" s="86">
        <f t="shared" si="13"/>
        <v>32.61643931071503</v>
      </c>
      <c r="AF35" s="87"/>
      <c r="AG35" s="86">
        <f t="shared" si="14"/>
        <v>3.6628236566785017</v>
      </c>
      <c r="AH35" s="86">
        <f t="shared" si="7"/>
        <v>0.9500000000000004</v>
      </c>
      <c r="AI35" s="86">
        <f t="shared" si="8"/>
        <v>59.172750993108679</v>
      </c>
      <c r="AJ35" s="86">
        <f t="shared" si="15"/>
        <v>33.531225562761584</v>
      </c>
      <c r="AK35" s="87"/>
      <c r="AL35" s="86">
        <f t="shared" si="16"/>
        <v>1.9000000000000006</v>
      </c>
      <c r="AM35" s="86">
        <f t="shared" si="9"/>
        <v>49.875</v>
      </c>
      <c r="AN35" s="86">
        <f t="shared" si="10"/>
        <v>28.262499999999999</v>
      </c>
      <c r="AO35" s="87"/>
      <c r="AV35" s="90">
        <f t="shared" si="11"/>
        <v>2</v>
      </c>
      <c r="AW35" s="90">
        <f t="shared" si="0"/>
        <v>2.6636793319959211</v>
      </c>
      <c r="AX35" s="90">
        <f t="shared" si="1"/>
        <v>3.5</v>
      </c>
      <c r="AY35" s="90">
        <f t="shared" si="2"/>
        <v>9.6621432084423251</v>
      </c>
      <c r="AZ35" s="90">
        <f t="shared" si="3"/>
        <v>16.994157207968332</v>
      </c>
      <c r="BA35" s="90">
        <f t="shared" si="4"/>
        <v>59.278019245676319</v>
      </c>
    </row>
    <row r="36" spans="3:53" ht="15.75" thickBot="1" x14ac:dyDescent="0.3">
      <c r="AB36" s="12">
        <f t="shared" si="12"/>
        <v>2.6636793319959211</v>
      </c>
      <c r="AC36" s="86">
        <f t="shared" si="5"/>
        <v>0.99999999999999967</v>
      </c>
      <c r="AD36" s="86">
        <f t="shared" si="6"/>
        <v>57.702679010552906</v>
      </c>
      <c r="AE36" s="86">
        <f t="shared" si="13"/>
        <v>32.698184772646648</v>
      </c>
      <c r="AF36" s="87"/>
      <c r="AG36" s="12">
        <f t="shared" si="14"/>
        <v>3.8556038491352651</v>
      </c>
      <c r="AH36" s="86">
        <f t="shared" si="7"/>
        <v>1.0000000000000004</v>
      </c>
      <c r="AI36" s="86">
        <f t="shared" si="8"/>
        <v>59.278019245676319</v>
      </c>
      <c r="AJ36" s="86">
        <f t="shared" si="15"/>
        <v>33.590877572549914</v>
      </c>
      <c r="AK36" s="87"/>
      <c r="AL36" s="15">
        <f t="shared" si="16"/>
        <v>2.0000000000000004</v>
      </c>
      <c r="AM36" s="86">
        <f t="shared" si="9"/>
        <v>50</v>
      </c>
      <c r="AN36" s="86">
        <f t="shared" si="10"/>
        <v>28.333333333333332</v>
      </c>
      <c r="AO36" s="87"/>
      <c r="AV36" s="90">
        <f t="shared" si="11"/>
        <v>2</v>
      </c>
      <c r="AW36" s="90">
        <f t="shared" si="0"/>
        <v>2.6636793319959211</v>
      </c>
      <c r="AX36" s="90">
        <f t="shared" si="1"/>
        <v>3.5</v>
      </c>
      <c r="AY36" s="90">
        <f t="shared" si="2"/>
        <v>9.6621432084423251</v>
      </c>
      <c r="AZ36" s="90">
        <f t="shared" si="3"/>
        <v>16.994157207968332</v>
      </c>
      <c r="BA36" s="90">
        <f t="shared" si="4"/>
        <v>59.278019245676319</v>
      </c>
    </row>
    <row r="37" spans="3:53" ht="18" customHeight="1" x14ac:dyDescent="0.25">
      <c r="C37" s="123" t="s">
        <v>94</v>
      </c>
      <c r="D37" s="124"/>
      <c r="E37" s="124"/>
      <c r="F37" s="124"/>
      <c r="G37" s="124"/>
      <c r="H37" s="124"/>
      <c r="I37" s="124"/>
      <c r="J37" s="124"/>
      <c r="K37" s="124"/>
      <c r="L37" s="124"/>
      <c r="M37" s="125"/>
      <c r="AB37" s="13">
        <f>E31</f>
        <v>9.6621432084423251</v>
      </c>
      <c r="AC37" s="86">
        <v>0</v>
      </c>
      <c r="AD37" s="86">
        <f>0.85*$AD$36</f>
        <v>49.047277158969969</v>
      </c>
      <c r="AE37" s="86">
        <f t="shared" si="13"/>
        <v>27.793457056749649</v>
      </c>
      <c r="AF37" s="87"/>
      <c r="AG37" s="13">
        <f>J31</f>
        <v>16.994157207968332</v>
      </c>
      <c r="AH37" s="86">
        <v>0</v>
      </c>
      <c r="AI37" s="86">
        <f>0.85*AI36</f>
        <v>50.386316358824871</v>
      </c>
      <c r="AJ37" s="86">
        <f t="shared" si="15"/>
        <v>28.552245936667429</v>
      </c>
      <c r="AK37" s="87"/>
      <c r="AL37" s="16">
        <f>L5</f>
        <v>3.5</v>
      </c>
      <c r="AM37" s="86">
        <f>E5</f>
        <v>50</v>
      </c>
      <c r="AN37" s="86">
        <f t="shared" si="10"/>
        <v>28.333333333333332</v>
      </c>
      <c r="AO37" s="87"/>
      <c r="AV37" s="90">
        <f t="shared" si="11"/>
        <v>2</v>
      </c>
      <c r="AW37" s="90">
        <f t="shared" si="0"/>
        <v>2.6636793319959211</v>
      </c>
      <c r="AX37" s="90">
        <f t="shared" si="1"/>
        <v>3.5</v>
      </c>
      <c r="AY37" s="90">
        <f t="shared" si="2"/>
        <v>9.6621432084423251</v>
      </c>
      <c r="AZ37" s="90">
        <f t="shared" si="3"/>
        <v>16.994157207968332</v>
      </c>
      <c r="BA37" s="90">
        <f t="shared" si="4"/>
        <v>59.278019245676319</v>
      </c>
    </row>
    <row r="38" spans="3:53" ht="15.75" customHeight="1" thickBot="1" x14ac:dyDescent="0.3">
      <c r="C38" s="126"/>
      <c r="D38" s="127"/>
      <c r="E38" s="127"/>
      <c r="F38" s="127"/>
      <c r="G38" s="127"/>
      <c r="H38" s="127"/>
      <c r="I38" s="127"/>
      <c r="J38" s="127"/>
      <c r="K38" s="127"/>
      <c r="L38" s="127"/>
      <c r="M38" s="128"/>
      <c r="AF38" s="87"/>
      <c r="AK38" s="87"/>
      <c r="AO38" s="87"/>
    </row>
    <row r="39" spans="3:53" ht="15.75" x14ac:dyDescent="0.25">
      <c r="C39" s="119" t="s">
        <v>89</v>
      </c>
      <c r="D39" s="120"/>
      <c r="E39" s="77"/>
      <c r="F39" s="119" t="s">
        <v>93</v>
      </c>
      <c r="G39" s="120"/>
      <c r="H39" s="78"/>
      <c r="I39" s="119" t="s">
        <v>90</v>
      </c>
      <c r="J39" s="120"/>
      <c r="L39" s="148" t="s">
        <v>131</v>
      </c>
      <c r="M39" s="149"/>
      <c r="AF39" s="87"/>
      <c r="AK39" s="87"/>
      <c r="AO39" s="87"/>
    </row>
    <row r="40" spans="3:53" ht="15.75" x14ac:dyDescent="0.25">
      <c r="C40" s="121"/>
      <c r="D40" s="122"/>
      <c r="E40" s="77"/>
      <c r="F40" s="121"/>
      <c r="G40" s="122"/>
      <c r="H40" s="78"/>
      <c r="I40" s="121"/>
      <c r="J40" s="122"/>
      <c r="L40" s="150"/>
      <c r="M40" s="151"/>
      <c r="AF40" s="87"/>
      <c r="AK40" s="87"/>
      <c r="AO40" s="87"/>
    </row>
    <row r="41" spans="3:53" ht="18.75" thickBot="1" x14ac:dyDescent="0.3">
      <c r="C41" s="79" t="s">
        <v>34</v>
      </c>
      <c r="D41" s="80" t="s">
        <v>75</v>
      </c>
      <c r="F41" s="79" t="s">
        <v>34</v>
      </c>
      <c r="G41" s="80" t="s">
        <v>75</v>
      </c>
      <c r="I41" s="79" t="s">
        <v>34</v>
      </c>
      <c r="J41" s="80" t="s">
        <v>76</v>
      </c>
      <c r="L41" s="79" t="s">
        <v>34</v>
      </c>
      <c r="M41" s="80" t="s">
        <v>77</v>
      </c>
      <c r="AF41" s="87"/>
      <c r="AK41" s="87"/>
      <c r="AO41" s="87"/>
    </row>
    <row r="42" spans="3:53" ht="15.75" thickTop="1" x14ac:dyDescent="0.25">
      <c r="C42" s="81" t="s">
        <v>17</v>
      </c>
      <c r="D42" s="82" t="s">
        <v>79</v>
      </c>
      <c r="F42" s="81" t="s">
        <v>17</v>
      </c>
      <c r="G42" s="82" t="s">
        <v>79</v>
      </c>
      <c r="I42" s="81" t="s">
        <v>17</v>
      </c>
      <c r="J42" s="82" t="s">
        <v>79</v>
      </c>
      <c r="L42" s="81" t="s">
        <v>17</v>
      </c>
      <c r="M42" s="82" t="s">
        <v>15</v>
      </c>
      <c r="AF42" s="87"/>
      <c r="AK42" s="87"/>
      <c r="AO42" s="87"/>
    </row>
    <row r="43" spans="3:53" x14ac:dyDescent="0.25">
      <c r="C43" s="17">
        <f t="shared" ref="C43:C65" si="17">AB15/-1000</f>
        <v>1E-4</v>
      </c>
      <c r="D43" s="18">
        <f t="shared" ref="D43:D65" si="18">-1*AE15*1000</f>
        <v>100</v>
      </c>
      <c r="F43" s="17">
        <f t="shared" ref="F43:F65" si="19">AG15/-1000</f>
        <v>1E-4</v>
      </c>
      <c r="G43" s="18">
        <f t="shared" ref="G43:G65" si="20">-1*AJ15*1000</f>
        <v>100</v>
      </c>
      <c r="I43" s="17">
        <f t="shared" ref="I43:I65" si="21">AL15/-1000</f>
        <v>1E-4</v>
      </c>
      <c r="J43" s="18">
        <f t="shared" ref="J43:J65" si="22">-1*AN15*1000</f>
        <v>100</v>
      </c>
      <c r="L43" s="17">
        <f>AP24/1000</f>
        <v>-4.4999999999999998E-2</v>
      </c>
      <c r="M43" s="18">
        <f>AQ24*1000</f>
        <v>-434782.60869565216</v>
      </c>
      <c r="AF43" s="87"/>
      <c r="AK43" s="87"/>
      <c r="AO43" s="87"/>
    </row>
    <row r="44" spans="3:53" x14ac:dyDescent="0.25">
      <c r="C44" s="17">
        <f t="shared" si="17"/>
        <v>0</v>
      </c>
      <c r="D44" s="18">
        <f t="shared" si="18"/>
        <v>0</v>
      </c>
      <c r="F44" s="17">
        <f t="shared" si="19"/>
        <v>0</v>
      </c>
      <c r="G44" s="18">
        <f t="shared" si="20"/>
        <v>0</v>
      </c>
      <c r="I44" s="17">
        <f t="shared" si="21"/>
        <v>0</v>
      </c>
      <c r="J44" s="18">
        <f t="shared" si="22"/>
        <v>0</v>
      </c>
      <c r="L44" s="17">
        <f>AP25/1000</f>
        <v>-2.1739130434782609E-3</v>
      </c>
      <c r="M44" s="18">
        <f>AQ25*1000</f>
        <v>-434782.60869565216</v>
      </c>
      <c r="AF44" s="87"/>
      <c r="AK44" s="87"/>
      <c r="AO44" s="87"/>
    </row>
    <row r="45" spans="3:53" x14ac:dyDescent="0.25">
      <c r="C45" s="17">
        <f t="shared" si="17"/>
        <v>-1.331839665997961E-4</v>
      </c>
      <c r="D45" s="18">
        <f t="shared" si="18"/>
        <v>-3188.0730153330492</v>
      </c>
      <c r="F45" s="17">
        <f t="shared" si="19"/>
        <v>-1.9278019245676318E-4</v>
      </c>
      <c r="G45" s="18">
        <f t="shared" si="20"/>
        <v>-3912.0874126622325</v>
      </c>
      <c r="I45" s="17">
        <f t="shared" si="21"/>
        <v>-1E-4</v>
      </c>
      <c r="J45" s="18">
        <f t="shared" si="22"/>
        <v>-2762.5000000000009</v>
      </c>
      <c r="L45" s="17">
        <f>AP26/1000</f>
        <v>0</v>
      </c>
      <c r="M45" s="18">
        <f>AQ26*1000</f>
        <v>0</v>
      </c>
      <c r="AF45" s="87"/>
      <c r="AK45" s="87"/>
      <c r="AO45" s="87"/>
    </row>
    <row r="46" spans="3:53" x14ac:dyDescent="0.25">
      <c r="C46" s="17">
        <f t="shared" si="17"/>
        <v>-2.6636793319959219E-4</v>
      </c>
      <c r="D46" s="18">
        <f t="shared" si="18"/>
        <v>-6212.6551068028602</v>
      </c>
      <c r="F46" s="17">
        <f t="shared" si="19"/>
        <v>-3.8556038491352636E-4</v>
      </c>
      <c r="G46" s="18">
        <f t="shared" si="20"/>
        <v>-7502.1193297512591</v>
      </c>
      <c r="I46" s="17">
        <f t="shared" si="21"/>
        <v>-2.0000000000000001E-4</v>
      </c>
      <c r="J46" s="18">
        <f t="shared" si="22"/>
        <v>-5383.3333333333321</v>
      </c>
      <c r="L46" s="17">
        <f>AP27/1000</f>
        <v>2.1739130434782609E-3</v>
      </c>
      <c r="M46" s="18">
        <f>AQ27*1000</f>
        <v>434782.60869565216</v>
      </c>
      <c r="AF46" s="87"/>
      <c r="AK46" s="87"/>
      <c r="AL46" s="87"/>
      <c r="AM46" s="87"/>
      <c r="AN46" s="87"/>
      <c r="AO46" s="87"/>
    </row>
    <row r="47" spans="3:53" ht="15.75" thickBot="1" x14ac:dyDescent="0.3">
      <c r="C47" s="17">
        <f t="shared" si="17"/>
        <v>-3.9955189979938826E-4</v>
      </c>
      <c r="D47" s="18">
        <f t="shared" si="18"/>
        <v>-9073.7462744094464</v>
      </c>
      <c r="F47" s="17">
        <f t="shared" si="19"/>
        <v>-5.7834057737028959E-4</v>
      </c>
      <c r="G47" s="18">
        <f t="shared" si="20"/>
        <v>-10789.577584941328</v>
      </c>
      <c r="I47" s="17">
        <f t="shared" si="21"/>
        <v>-3.0000000000000003E-4</v>
      </c>
      <c r="J47" s="18">
        <f t="shared" si="22"/>
        <v>-7862.5000000000018</v>
      </c>
      <c r="L47" s="19">
        <f>AP28/1000</f>
        <v>4.4999999999999998E-2</v>
      </c>
      <c r="M47" s="20">
        <f>AQ28*1000</f>
        <v>434782.60869565216</v>
      </c>
    </row>
    <row r="48" spans="3:53" ht="15.75" thickBot="1" x14ac:dyDescent="0.3">
      <c r="C48" s="17">
        <f t="shared" si="17"/>
        <v>-5.3273586639918438E-4</v>
      </c>
      <c r="D48" s="18">
        <f t="shared" si="18"/>
        <v>-11771.346518152795</v>
      </c>
      <c r="F48" s="17">
        <f t="shared" si="19"/>
        <v>-7.7112076982705272E-4</v>
      </c>
      <c r="G48" s="18">
        <f t="shared" si="20"/>
        <v>-13792.403739030604</v>
      </c>
      <c r="I48" s="17">
        <f t="shared" si="21"/>
        <v>-4.0000000000000002E-4</v>
      </c>
      <c r="J48" s="18">
        <f t="shared" si="22"/>
        <v>-10199.999999999996</v>
      </c>
    </row>
    <row r="49" spans="3:13" x14ac:dyDescent="0.25">
      <c r="C49" s="17">
        <f t="shared" si="17"/>
        <v>-6.659198329989804E-4</v>
      </c>
      <c r="D49" s="18">
        <f t="shared" si="18"/>
        <v>-14305.455838032907</v>
      </c>
      <c r="F49" s="17">
        <f t="shared" si="19"/>
        <v>-9.6390096228381585E-4</v>
      </c>
      <c r="G49" s="18">
        <f t="shared" si="20"/>
        <v>-16527.148350858341</v>
      </c>
      <c r="I49" s="17">
        <f t="shared" si="21"/>
        <v>-5.0000000000000001E-4</v>
      </c>
      <c r="J49" s="18">
        <f t="shared" si="22"/>
        <v>-12395.833333333334</v>
      </c>
      <c r="L49" s="148" t="s">
        <v>132</v>
      </c>
      <c r="M49" s="149"/>
    </row>
    <row r="50" spans="3:13" x14ac:dyDescent="0.25">
      <c r="C50" s="17">
        <f t="shared" si="17"/>
        <v>-7.9910379959877641E-4</v>
      </c>
      <c r="D50" s="18">
        <f t="shared" si="18"/>
        <v>-16676.074234049789</v>
      </c>
      <c r="F50" s="17">
        <f t="shared" si="19"/>
        <v>-1.1566811547405792E-3</v>
      </c>
      <c r="G50" s="18">
        <f t="shared" si="20"/>
        <v>-19009.103218919809</v>
      </c>
      <c r="I50" s="17">
        <f t="shared" si="21"/>
        <v>-5.9999999999999995E-4</v>
      </c>
      <c r="J50" s="18">
        <f t="shared" si="22"/>
        <v>-14450.000000000002</v>
      </c>
      <c r="L50" s="150"/>
      <c r="M50" s="151"/>
    </row>
    <row r="51" spans="3:13" ht="18.75" thickBot="1" x14ac:dyDescent="0.3">
      <c r="C51" s="17">
        <f t="shared" si="17"/>
        <v>-9.3228776619857243E-4</v>
      </c>
      <c r="D51" s="18">
        <f t="shared" si="18"/>
        <v>-18883.201706203443</v>
      </c>
      <c r="F51" s="17">
        <f t="shared" si="19"/>
        <v>-1.3494613471973422E-3</v>
      </c>
      <c r="G51" s="18">
        <f t="shared" si="20"/>
        <v>-21252.418817937494</v>
      </c>
      <c r="I51" s="17">
        <f t="shared" si="21"/>
        <v>-6.9999999999999999E-4</v>
      </c>
      <c r="J51" s="18">
        <f t="shared" si="22"/>
        <v>-16362.499999999996</v>
      </c>
      <c r="L51" s="79" t="s">
        <v>34</v>
      </c>
      <c r="M51" s="80" t="s">
        <v>77</v>
      </c>
    </row>
    <row r="52" spans="3:13" ht="15.75" thickTop="1" x14ac:dyDescent="0.25">
      <c r="C52" s="17">
        <f t="shared" si="17"/>
        <v>-1.0654717327983686E-3</v>
      </c>
      <c r="D52" s="18">
        <f t="shared" si="18"/>
        <v>-20926.83825449385</v>
      </c>
      <c r="F52" s="17">
        <f t="shared" si="19"/>
        <v>-1.5422415396541054E-3</v>
      </c>
      <c r="G52" s="18">
        <f t="shared" si="20"/>
        <v>-23270.208828707095</v>
      </c>
      <c r="I52" s="17">
        <f t="shared" si="21"/>
        <v>-7.9999999999999993E-4</v>
      </c>
      <c r="J52" s="18">
        <f t="shared" si="22"/>
        <v>-18133.333333333328</v>
      </c>
      <c r="L52" s="81" t="s">
        <v>17</v>
      </c>
      <c r="M52" s="82" t="s">
        <v>15</v>
      </c>
    </row>
    <row r="53" spans="3:13" x14ac:dyDescent="0.25">
      <c r="C53" s="17">
        <f t="shared" si="17"/>
        <v>-1.1986556993981645E-3</v>
      </c>
      <c r="D53" s="18">
        <f t="shared" si="18"/>
        <v>-22806.983878921033</v>
      </c>
      <c r="F53" s="17">
        <f t="shared" si="19"/>
        <v>-1.7350217321108685E-3</v>
      </c>
      <c r="G53" s="18">
        <f t="shared" si="20"/>
        <v>-25074.643386364871</v>
      </c>
      <c r="I53" s="17">
        <f t="shared" si="21"/>
        <v>-8.9999999999999987E-4</v>
      </c>
      <c r="J53" s="18">
        <f t="shared" si="22"/>
        <v>-19762.5</v>
      </c>
      <c r="L53" s="17">
        <f>AS24/1000</f>
        <v>-4.4999999999999998E-2</v>
      </c>
      <c r="M53" s="18">
        <f>AT24*1000</f>
        <v>-469565.21739130438</v>
      </c>
    </row>
    <row r="54" spans="3:13" x14ac:dyDescent="0.25">
      <c r="C54" s="17">
        <f t="shared" si="17"/>
        <v>-1.3318396659979606E-3</v>
      </c>
      <c r="D54" s="18">
        <f t="shared" si="18"/>
        <v>-24523.638579484985</v>
      </c>
      <c r="F54" s="17">
        <f t="shared" si="19"/>
        <v>-1.9278019245676317E-3</v>
      </c>
      <c r="G54" s="18">
        <f t="shared" si="20"/>
        <v>-26677.032442491938</v>
      </c>
      <c r="I54" s="17">
        <f t="shared" si="21"/>
        <v>-9.999999999999998E-4</v>
      </c>
      <c r="J54" s="18">
        <f t="shared" si="22"/>
        <v>-21250</v>
      </c>
      <c r="L54" s="17">
        <f t="shared" ref="L54:L57" si="23">AS25/1000</f>
        <v>-2.1739130434782613E-3</v>
      </c>
      <c r="M54" s="18">
        <f t="shared" ref="M54:M57" si="24">AT25*1000</f>
        <v>-434782.60869565216</v>
      </c>
    </row>
    <row r="55" spans="3:13" x14ac:dyDescent="0.25">
      <c r="C55" s="17">
        <f t="shared" si="17"/>
        <v>-1.4650236325977565E-3</v>
      </c>
      <c r="D55" s="18">
        <f t="shared" si="18"/>
        <v>-26076.802356185704</v>
      </c>
      <c r="F55" s="17">
        <f t="shared" si="19"/>
        <v>-2.1205821170243947E-3</v>
      </c>
      <c r="G55" s="18">
        <f t="shared" si="20"/>
        <v>-28087.900442640861</v>
      </c>
      <c r="I55" s="17">
        <f t="shared" si="21"/>
        <v>-1.0999999999999998E-3</v>
      </c>
      <c r="J55" s="18">
        <f t="shared" si="22"/>
        <v>-22595.833333333328</v>
      </c>
      <c r="L55" s="17">
        <f t="shared" si="23"/>
        <v>0</v>
      </c>
      <c r="M55" s="18">
        <f t="shared" si="24"/>
        <v>0</v>
      </c>
    </row>
    <row r="56" spans="3:13" x14ac:dyDescent="0.25">
      <c r="C56" s="17">
        <f t="shared" si="17"/>
        <v>-1.5982075991975526E-3</v>
      </c>
      <c r="D56" s="18">
        <f t="shared" si="18"/>
        <v>-27466.475209023185</v>
      </c>
      <c r="F56" s="17">
        <f t="shared" si="19"/>
        <v>-2.3133623094811584E-3</v>
      </c>
      <c r="G56" s="18">
        <f t="shared" si="20"/>
        <v>-29317.053356811892</v>
      </c>
      <c r="I56" s="17">
        <f t="shared" si="21"/>
        <v>-1.1999999999999999E-3</v>
      </c>
      <c r="J56" s="18">
        <f t="shared" si="22"/>
        <v>-23799.999999999996</v>
      </c>
      <c r="L56" s="17">
        <f t="shared" si="23"/>
        <v>2.1739130434782613E-3</v>
      </c>
      <c r="M56" s="18">
        <f t="shared" si="24"/>
        <v>434782.60869565216</v>
      </c>
    </row>
    <row r="57" spans="3:13" ht="15.75" thickBot="1" x14ac:dyDescent="0.3">
      <c r="C57" s="17">
        <f t="shared" si="17"/>
        <v>-1.7313915657973487E-3</v>
      </c>
      <c r="D57" s="18">
        <f t="shared" si="18"/>
        <v>-28692.657137997434</v>
      </c>
      <c r="F57" s="17">
        <f t="shared" si="19"/>
        <v>-2.5061425019379216E-3</v>
      </c>
      <c r="G57" s="18">
        <f t="shared" si="20"/>
        <v>-30373.6389611247</v>
      </c>
      <c r="I57" s="17">
        <f t="shared" si="21"/>
        <v>-1.2999999999999999E-3</v>
      </c>
      <c r="J57" s="18">
        <f t="shared" si="22"/>
        <v>-24862.499999999996</v>
      </c>
      <c r="L57" s="19">
        <f t="shared" si="23"/>
        <v>4.4999999999999998E-2</v>
      </c>
      <c r="M57" s="20">
        <f t="shared" si="24"/>
        <v>469565.21739130438</v>
      </c>
    </row>
    <row r="58" spans="3:13" x14ac:dyDescent="0.25">
      <c r="C58" s="17">
        <f t="shared" si="17"/>
        <v>-1.8645755323971446E-3</v>
      </c>
      <c r="D58" s="18">
        <f t="shared" si="18"/>
        <v>-29755.348143108447</v>
      </c>
      <c r="F58" s="17">
        <f t="shared" si="19"/>
        <v>-2.6989226943946848E-3</v>
      </c>
      <c r="G58" s="18">
        <f t="shared" si="20"/>
        <v>-31266.201150338034</v>
      </c>
      <c r="I58" s="17">
        <f t="shared" si="21"/>
        <v>-1.4000000000000002E-3</v>
      </c>
      <c r="J58" s="18">
        <f t="shared" si="22"/>
        <v>-25783.333333333332</v>
      </c>
    </row>
    <row r="59" spans="3:13" x14ac:dyDescent="0.25">
      <c r="C59" s="17">
        <f t="shared" si="17"/>
        <v>-1.9977594989969405E-3</v>
      </c>
      <c r="D59" s="18">
        <f t="shared" si="18"/>
        <v>-30654.548224356233</v>
      </c>
      <c r="F59" s="17">
        <f t="shared" si="19"/>
        <v>-2.8917028868514481E-3</v>
      </c>
      <c r="G59" s="18">
        <f t="shared" si="20"/>
        <v>-32002.728959604981</v>
      </c>
      <c r="I59" s="17">
        <f t="shared" si="21"/>
        <v>-1.5000000000000002E-3</v>
      </c>
      <c r="J59" s="18">
        <f t="shared" si="22"/>
        <v>-26562.5</v>
      </c>
    </row>
    <row r="60" spans="3:13" x14ac:dyDescent="0.25">
      <c r="C60" s="17">
        <f t="shared" si="17"/>
        <v>-2.1309434655967371E-3</v>
      </c>
      <c r="D60" s="18">
        <f t="shared" si="18"/>
        <v>-31390.257381740783</v>
      </c>
      <c r="F60" s="17">
        <f t="shared" si="19"/>
        <v>-3.0844830793082118E-3</v>
      </c>
      <c r="G60" s="18">
        <f t="shared" si="20"/>
        <v>-32590.700887146893</v>
      </c>
      <c r="I60" s="17">
        <f t="shared" si="21"/>
        <v>-1.6000000000000003E-3</v>
      </c>
      <c r="J60" s="18">
        <f t="shared" si="22"/>
        <v>-27200.000000000004</v>
      </c>
    </row>
    <row r="61" spans="3:13" x14ac:dyDescent="0.25">
      <c r="C61" s="17">
        <f t="shared" si="17"/>
        <v>-2.2641274321965328E-3</v>
      </c>
      <c r="D61" s="18">
        <f t="shared" si="18"/>
        <v>-31962.475615262098</v>
      </c>
      <c r="F61" s="17">
        <f t="shared" si="19"/>
        <v>-3.277263271764975E-3</v>
      </c>
      <c r="G61" s="18">
        <f t="shared" si="20"/>
        <v>-33037.125035096054</v>
      </c>
      <c r="I61" s="17">
        <f t="shared" si="21"/>
        <v>-1.7000000000000003E-3</v>
      </c>
      <c r="J61" s="18">
        <f t="shared" si="22"/>
        <v>-27695.833333333328</v>
      </c>
    </row>
    <row r="62" spans="3:13" x14ac:dyDescent="0.25">
      <c r="C62" s="17">
        <f t="shared" si="17"/>
        <v>-2.3973113987963289E-3</v>
      </c>
      <c r="D62" s="18">
        <f t="shared" si="18"/>
        <v>-32371.202924920177</v>
      </c>
      <c r="F62" s="17">
        <f t="shared" si="19"/>
        <v>-3.4700434642217382E-3</v>
      </c>
      <c r="G62" s="18">
        <f t="shared" si="20"/>
        <v>-33348.575521694147</v>
      </c>
      <c r="I62" s="17">
        <f t="shared" si="21"/>
        <v>-1.8000000000000004E-3</v>
      </c>
      <c r="J62" s="18">
        <f t="shared" si="22"/>
        <v>-28050</v>
      </c>
    </row>
    <row r="63" spans="3:13" x14ac:dyDescent="0.25">
      <c r="C63" s="17">
        <f t="shared" si="17"/>
        <v>-2.530495365396125E-3</v>
      </c>
      <c r="D63" s="18">
        <f t="shared" si="18"/>
        <v>-32616.439310715032</v>
      </c>
      <c r="F63" s="17">
        <f t="shared" si="19"/>
        <v>-3.6628236566785019E-3</v>
      </c>
      <c r="G63" s="18">
        <f t="shared" si="20"/>
        <v>-33531.225562761581</v>
      </c>
      <c r="I63" s="17">
        <f t="shared" si="21"/>
        <v>-1.9000000000000006E-3</v>
      </c>
      <c r="J63" s="18">
        <f t="shared" si="22"/>
        <v>-28262.5</v>
      </c>
    </row>
    <row r="64" spans="3:13" x14ac:dyDescent="0.25">
      <c r="C64" s="17">
        <f t="shared" si="17"/>
        <v>-2.6636793319959212E-3</v>
      </c>
      <c r="D64" s="18">
        <f t="shared" si="18"/>
        <v>-32698.184772646648</v>
      </c>
      <c r="F64" s="17">
        <f t="shared" si="19"/>
        <v>-3.8556038491352651E-3</v>
      </c>
      <c r="G64" s="18">
        <f t="shared" si="20"/>
        <v>-33590.877572549914</v>
      </c>
      <c r="I64" s="17">
        <f t="shared" si="21"/>
        <v>-2.0000000000000005E-3</v>
      </c>
      <c r="J64" s="18">
        <f t="shared" si="22"/>
        <v>-28333.333333333332</v>
      </c>
    </row>
    <row r="65" spans="3:10" ht="15.75" thickBot="1" x14ac:dyDescent="0.3">
      <c r="C65" s="19">
        <f t="shared" si="17"/>
        <v>-9.6621432084423257E-3</v>
      </c>
      <c r="D65" s="20">
        <f t="shared" si="18"/>
        <v>-27793.457056749648</v>
      </c>
      <c r="F65" s="19">
        <f t="shared" si="19"/>
        <v>-1.6994157207968333E-2</v>
      </c>
      <c r="G65" s="20">
        <f t="shared" si="20"/>
        <v>-28552.24593666743</v>
      </c>
      <c r="I65" s="19">
        <f t="shared" si="21"/>
        <v>-3.5000000000000001E-3</v>
      </c>
      <c r="J65" s="20">
        <f t="shared" si="22"/>
        <v>-28333.333333333332</v>
      </c>
    </row>
  </sheetData>
  <sheetProtection selectLockedCells="1" selectUnlockedCells="1"/>
  <dataConsolidate/>
  <mergeCells count="32">
    <mergeCell ref="C39:D40"/>
    <mergeCell ref="F39:G40"/>
    <mergeCell ref="I39:J40"/>
    <mergeCell ref="L39:M40"/>
    <mergeCell ref="L49:M50"/>
    <mergeCell ref="C37:M38"/>
    <mergeCell ref="J16:J17"/>
    <mergeCell ref="AP21:AQ21"/>
    <mergeCell ref="AS21:AT21"/>
    <mergeCell ref="C23:E23"/>
    <mergeCell ref="F23:H23"/>
    <mergeCell ref="I23:K23"/>
    <mergeCell ref="D24:E26"/>
    <mergeCell ref="G24:H26"/>
    <mergeCell ref="J24:K26"/>
    <mergeCell ref="C28:F28"/>
    <mergeCell ref="H28:K28"/>
    <mergeCell ref="C8:C9"/>
    <mergeCell ref="AP10:AQ10"/>
    <mergeCell ref="AS10:AT10"/>
    <mergeCell ref="C12:H12"/>
    <mergeCell ref="AB12:AE12"/>
    <mergeCell ref="AG12:AJ12"/>
    <mergeCell ref="AL12:AN12"/>
    <mergeCell ref="AP12:AQ12"/>
    <mergeCell ref="AS12:AT12"/>
    <mergeCell ref="C1:D1"/>
    <mergeCell ref="C2:Q2"/>
    <mergeCell ref="C3:C4"/>
    <mergeCell ref="D3:D4"/>
    <mergeCell ref="C7:J7"/>
    <mergeCell ref="L7:N7"/>
  </mergeCells>
  <conditionalFormatting sqref="D24:E26">
    <cfRule type="containsText" dxfId="14" priority="3" operator="containsText" text="Pass">
      <formula>NOT(ISERROR(SEARCH("Pass",D24)))</formula>
    </cfRule>
  </conditionalFormatting>
  <conditionalFormatting sqref="G24:H26">
    <cfRule type="containsText" dxfId="13" priority="2" operator="containsText" text="Pass">
      <formula>NOT(ISERROR(SEARCH("Pass",G24)))</formula>
    </cfRule>
  </conditionalFormatting>
  <conditionalFormatting sqref="J24:K26">
    <cfRule type="containsText" dxfId="12"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1EC44F36-5207-457E-9EF5-F71FBE7D02B6}">
          <x14:formula1>
            <xm:f>Data!$C$18:$C$20</xm:f>
          </x14:formula1>
          <xm:sqref>C10</xm:sqref>
        </x14:dataValidation>
        <x14:dataValidation type="list" allowBlank="1" showInputMessage="1" showErrorMessage="1" xr:uid="{1C064303-8D0D-4C49-A4B5-D3F7DE3DC8EC}">
          <x14:formula1>
            <xm:f>Data!$C$5:$C$13</xm:f>
          </x14:formula1>
          <xm:sqref>C5</xm:sqref>
        </x14:dataValidation>
        <x14:dataValidation type="list" allowBlank="1" showInputMessage="1" showErrorMessage="1" xr:uid="{80368F6A-E0A0-4A86-A240-E3ABC3C8C4CF}">
          <x14:formula1>
            <xm:f>Data!$C$23:$C$33</xm:f>
          </x14:formula1>
          <xm:sqref>C18 C21</xm:sqref>
        </x14:dataValidation>
        <x14:dataValidation type="list" allowBlank="1" showInputMessage="1" showErrorMessage="1" xr:uid="{05F55511-CD7E-4D34-A683-D58AA511E9F4}">
          <x14:formula1>
            <xm:f>Data!$D$23:$D$29</xm:f>
          </x14:formula1>
          <xm:sqref>D18:E18</xm:sqref>
        </x14:dataValidation>
        <x14:dataValidation type="list" allowBlank="1" showInputMessage="1" showErrorMessage="1" xr:uid="{C23936FA-8B2E-40B2-94F4-6BCE871A25A4}">
          <x14:formula1>
            <xm:f>Data!$E$23:$E$29</xm:f>
          </x14:formula1>
          <xm:sqref>D21</xm:sqref>
        </x14:dataValidation>
        <x14:dataValidation type="list" showInputMessage="1" showErrorMessage="1" xr:uid="{8949DA0A-C1CE-4AF9-80C1-290B1D1D0772}">
          <x14:formula1>
            <xm:f>Data!$F$23:$F$24</xm:f>
          </x14:formula1>
          <xm:sqref>J18</xm:sqref>
        </x14:dataValidation>
        <x14:dataValidation type="list" allowBlank="1" showInputMessage="1" showErrorMessage="1" xr:uid="{7D0F8EEA-3C03-428E-944F-B83979FCB36D}">
          <x14:formula1>
            <xm:f>Data!$G$23:$G$24</xm:f>
          </x14:formula1>
          <xm:sqref>H15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21879-A6CF-4A82-9279-787683696A2F}">
  <dimension ref="C1:BA65"/>
  <sheetViews>
    <sheetView topLeftCell="N13" zoomScaleNormal="100" workbookViewId="0">
      <selection activeCell="W6" sqref="W6"/>
    </sheetView>
  </sheetViews>
  <sheetFormatPr defaultRowHeight="15" x14ac:dyDescent="0.25"/>
  <cols>
    <col min="1" max="2" width="9.7109375" style="90" customWidth="1"/>
    <col min="3" max="17" width="12.7109375" style="90" customWidth="1"/>
    <col min="18" max="46" width="10.7109375" style="90" customWidth="1"/>
    <col min="47" max="16384" width="9.140625" style="90"/>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VLOOKUP('WR3-06'!C5,Data!C5:P13,11,FALSE)</f>
        <v>2</v>
      </c>
      <c r="N5" s="8">
        <f>VLOOKUP(C5,Data!C5:P13,12,FALSE)</f>
        <v>1.75</v>
      </c>
      <c r="O5" s="8">
        <f>VLOOKUP(C5,Data!C5:P13,13,FALSE)</f>
        <v>3.5</v>
      </c>
      <c r="P5" s="8">
        <f>VLOOKUP(C5,Data!C5:P13,14,FALSE)</f>
        <v>2.4324324324324325</v>
      </c>
      <c r="Q5" s="41">
        <f>1.05*H5*I31/H31</f>
        <v>2.3958509084185211</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86" t="s">
        <v>44</v>
      </c>
      <c r="E8" s="86" t="s">
        <v>45</v>
      </c>
      <c r="F8" s="86"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88"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87"/>
      <c r="AG14" s="38" t="s">
        <v>17</v>
      </c>
      <c r="AH14" s="48" t="s">
        <v>14</v>
      </c>
      <c r="AI14" s="48" t="s">
        <v>15</v>
      </c>
      <c r="AJ14" s="48" t="s">
        <v>15</v>
      </c>
      <c r="AK14" s="87"/>
      <c r="AL14" s="38" t="s">
        <v>17</v>
      </c>
      <c r="AM14" s="48" t="s">
        <v>15</v>
      </c>
      <c r="AN14" s="48" t="s">
        <v>15</v>
      </c>
      <c r="AO14" s="87"/>
      <c r="AP14" s="38" t="s">
        <v>17</v>
      </c>
      <c r="AQ14" s="48" t="s">
        <v>15</v>
      </c>
      <c r="AR14" s="87"/>
      <c r="AS14" s="38" t="s">
        <v>17</v>
      </c>
      <c r="AT14" s="48" t="s">
        <v>15</v>
      </c>
    </row>
    <row r="15" spans="3:53" ht="16.5" thickTop="1" thickBot="1" x14ac:dyDescent="0.3">
      <c r="C15" s="61">
        <v>400</v>
      </c>
      <c r="D15" s="62">
        <v>1450</v>
      </c>
      <c r="E15" s="62">
        <v>35</v>
      </c>
      <c r="F15" s="22">
        <f>C15-2*E15-C21</f>
        <v>322</v>
      </c>
      <c r="G15" s="22">
        <f>D15-2*E15-C21</f>
        <v>1372</v>
      </c>
      <c r="H15" s="63" t="s">
        <v>108</v>
      </c>
      <c r="Y15" s="97">
        <v>3.8969999999999998</v>
      </c>
      <c r="Z15" s="97">
        <v>9.3620000000000001</v>
      </c>
      <c r="AB15" s="98">
        <v>-0.1</v>
      </c>
      <c r="AC15" s="7">
        <v>0</v>
      </c>
      <c r="AD15" s="7">
        <v>-0.1</v>
      </c>
      <c r="AE15" s="7">
        <f>-0.1</f>
        <v>-0.1</v>
      </c>
      <c r="AF15" s="87"/>
      <c r="AG15" s="7">
        <v>-0.1</v>
      </c>
      <c r="AH15" s="7">
        <v>0</v>
      </c>
      <c r="AI15" s="7">
        <v>-0.1</v>
      </c>
      <c r="AJ15" s="7">
        <f>-0.1</f>
        <v>-0.1</v>
      </c>
      <c r="AK15" s="87"/>
      <c r="AL15" s="7">
        <v>-0.1</v>
      </c>
      <c r="AM15" s="7">
        <v>-0.1</v>
      </c>
      <c r="AN15" s="7">
        <f>-0.1</f>
        <v>-0.1</v>
      </c>
      <c r="AO15" s="87"/>
      <c r="AP15" s="7">
        <f>-1*J10</f>
        <v>-45</v>
      </c>
      <c r="AQ15" s="7">
        <f>-D10</f>
        <v>-500</v>
      </c>
      <c r="AR15" s="87"/>
      <c r="AS15" s="7">
        <f>-1*J10</f>
        <v>-45</v>
      </c>
      <c r="AT15" s="7">
        <f>-1*E10</f>
        <v>-540</v>
      </c>
      <c r="AV15" s="90">
        <f>$K$5</f>
        <v>2</v>
      </c>
      <c r="AW15" s="90">
        <f t="shared" ref="AW15:AW37" si="0">$AB$36</f>
        <v>2.6291381939919667</v>
      </c>
      <c r="AX15" s="90">
        <f t="shared" ref="AX15:AX37" si="1">$AL$37</f>
        <v>3.5</v>
      </c>
      <c r="AY15" s="90">
        <f t="shared" ref="AY15:AY37" si="2">$AB$37</f>
        <v>9.3618638434328503</v>
      </c>
      <c r="AZ15" s="90">
        <f t="shared" ref="AZ15:AZ37" si="3">$AG$37</f>
        <v>16.442855284238007</v>
      </c>
      <c r="BA15" s="90">
        <f t="shared" ref="BA15:BA37" si="4">$AI$36</f>
        <v>58.887848784779806</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Y16" s="97">
        <v>3.8969999999999998</v>
      </c>
      <c r="Z16" s="97">
        <v>9.3620000000000001</v>
      </c>
      <c r="AB16" s="99">
        <v>0</v>
      </c>
      <c r="AC16" s="86">
        <f t="shared" ref="AC16:AC36" si="5">AB16/$D$31</f>
        <v>0</v>
      </c>
      <c r="AD16" s="86">
        <f t="shared" ref="AD16:AD36" si="6">IF(AB16&lt;=$AB$36,$C$31*(1-(1-AB16/$AB$36)^$M$5),$C$31)</f>
        <v>0</v>
      </c>
      <c r="AE16" s="86">
        <f>AD16*$N$10/$L$10</f>
        <v>0</v>
      </c>
      <c r="AF16" s="87"/>
      <c r="AG16" s="86">
        <v>0</v>
      </c>
      <c r="AH16" s="86">
        <f t="shared" ref="AH16:AH36" si="7">AG16/$I$31</f>
        <v>0</v>
      </c>
      <c r="AI16" s="86">
        <f t="shared" ref="AI16:AI36" si="8">IF(AG16&lt;=$AG$36,$H$31*AH16*($Q$5-AH16)/(1+($Q$5-2)*AH16))</f>
        <v>0</v>
      </c>
      <c r="AJ16" s="86">
        <f>AI16*$N$10/$L$10</f>
        <v>0</v>
      </c>
      <c r="AK16" s="87"/>
      <c r="AL16" s="86">
        <v>0</v>
      </c>
      <c r="AM16" s="86">
        <f t="shared" ref="AM16:AM36" si="9">$E$5*(1-(1-AL16/$K$5)^$M$5)</f>
        <v>0</v>
      </c>
      <c r="AN16" s="86">
        <f t="shared" ref="AN16:AN37" si="10">AM16*$N$10/$L$10</f>
        <v>0</v>
      </c>
      <c r="AO16" s="87"/>
      <c r="AP16" s="86">
        <f>-1*D10/G10</f>
        <v>-2.5</v>
      </c>
      <c r="AQ16" s="86">
        <f>AQ15</f>
        <v>-500</v>
      </c>
      <c r="AR16" s="87"/>
      <c r="AS16" s="86">
        <f>-1*H10</f>
        <v>-2.5</v>
      </c>
      <c r="AT16" s="86">
        <f>-1*D10</f>
        <v>-500</v>
      </c>
      <c r="AV16" s="90">
        <f t="shared" ref="AV16:AV37" si="11">$K$5</f>
        <v>2</v>
      </c>
      <c r="AW16" s="90">
        <f t="shared" si="0"/>
        <v>2.6291381939919667</v>
      </c>
      <c r="AX16" s="90">
        <f t="shared" si="1"/>
        <v>3.5</v>
      </c>
      <c r="AY16" s="90">
        <f t="shared" si="2"/>
        <v>9.3618638434328503</v>
      </c>
      <c r="AZ16" s="90">
        <f t="shared" si="3"/>
        <v>16.442855284238007</v>
      </c>
      <c r="BA16" s="90">
        <f t="shared" si="4"/>
        <v>58.887848784779806</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Y17" s="97">
        <v>3.8969999999999998</v>
      </c>
      <c r="Z17" s="97">
        <v>9.3620000000000001</v>
      </c>
      <c r="AB17" s="99">
        <f t="shared" ref="AB17:AB36" si="12">AB16+$D$31/20</f>
        <v>0.13145690969959833</v>
      </c>
      <c r="AC17" s="86">
        <f t="shared" si="5"/>
        <v>0.05</v>
      </c>
      <c r="AD17" s="86">
        <f t="shared" si="6"/>
        <v>5.5894146559183806</v>
      </c>
      <c r="AE17" s="86">
        <f t="shared" ref="AE17:AE37" si="13">AD17*$N$10/$L$10</f>
        <v>3.1673349716870827</v>
      </c>
      <c r="AF17" s="87"/>
      <c r="AG17" s="86">
        <f t="shared" ref="AG17:AG36" si="14">AG16+$I$31/20</f>
        <v>0.18887848784779807</v>
      </c>
      <c r="AH17" s="86">
        <f t="shared" si="7"/>
        <v>0.05</v>
      </c>
      <c r="AI17" s="86">
        <f t="shared" si="8"/>
        <v>6.7730497828638851</v>
      </c>
      <c r="AJ17" s="86">
        <f t="shared" ref="AJ17:AJ37" si="15">AI17*$N$10/$L$10</f>
        <v>3.8380615436228678</v>
      </c>
      <c r="AK17" s="87"/>
      <c r="AL17" s="86">
        <f t="shared" ref="AL17:AL36" si="16">AL16+$K$5/20</f>
        <v>0.1</v>
      </c>
      <c r="AM17" s="86">
        <f t="shared" si="9"/>
        <v>4.8750000000000018</v>
      </c>
      <c r="AN17" s="86">
        <f t="shared" si="10"/>
        <v>2.7625000000000011</v>
      </c>
      <c r="AO17" s="87"/>
      <c r="AP17" s="86">
        <f>0</f>
        <v>0</v>
      </c>
      <c r="AQ17" s="86">
        <f>0</f>
        <v>0</v>
      </c>
      <c r="AR17" s="87"/>
      <c r="AS17" s="86">
        <f>0</f>
        <v>0</v>
      </c>
      <c r="AT17" s="86">
        <f>0</f>
        <v>0</v>
      </c>
      <c r="AV17" s="90">
        <f t="shared" si="11"/>
        <v>2</v>
      </c>
      <c r="AW17" s="90">
        <f t="shared" si="0"/>
        <v>2.6291381939919667</v>
      </c>
      <c r="AX17" s="90">
        <f t="shared" si="1"/>
        <v>3.5</v>
      </c>
      <c r="AY17" s="90">
        <f t="shared" si="2"/>
        <v>9.3618638434328503</v>
      </c>
      <c r="AZ17" s="90">
        <f t="shared" si="3"/>
        <v>16.442855284238007</v>
      </c>
      <c r="BA17" s="90">
        <f t="shared" si="4"/>
        <v>58.887848784779806</v>
      </c>
    </row>
    <row r="18" spans="3:53" ht="16.5" thickTop="1" thickBot="1" x14ac:dyDescent="0.3">
      <c r="C18" s="61">
        <v>16</v>
      </c>
      <c r="D18" s="62">
        <v>200</v>
      </c>
      <c r="E18" s="62">
        <v>200</v>
      </c>
      <c r="F18" s="21">
        <f>IF(ROUND(F15/D18,0)*D18&lt;F15-C18-C21,ROUND(F15/D18,0)+1,ROUND(F15/D18,0))</f>
        <v>2</v>
      </c>
      <c r="G18" s="21">
        <f>IF(ROUND(G15/E18,0)*E18&lt;G15-C18-C21,ROUND(G15/E18,0)+1,ROUND(G15/E18,0))</f>
        <v>7</v>
      </c>
      <c r="H18" s="22">
        <f>(F15-C21-C18)/F18</f>
        <v>149</v>
      </c>
      <c r="I18" s="22">
        <f>(G15-C21-C18)/G18</f>
        <v>192.57142857142858</v>
      </c>
      <c r="J18" s="67" t="s">
        <v>98</v>
      </c>
      <c r="K18" s="22">
        <f>IF(J18="Min",IF(D18=200,H18,IF(2*H18&lt;=200,2*H18,H18)),IF(J18="Max",H18))</f>
        <v>149</v>
      </c>
      <c r="L18" s="22">
        <f>IF(J18="Min",IF(E18=200,I18,IF(2*I18&lt;=200,2*I18,I18)),IF(J18="Max",I18))</f>
        <v>192.57142857142858</v>
      </c>
      <c r="M18" s="21">
        <f>IF(K18=H18,F18,F18/2)</f>
        <v>2</v>
      </c>
      <c r="N18" s="83">
        <f>IF(L18=I18,G18,G18/2)</f>
        <v>7</v>
      </c>
      <c r="O18" s="27"/>
      <c r="P18" s="27"/>
      <c r="Q18" s="27"/>
      <c r="R18" s="27"/>
      <c r="S18" s="27"/>
      <c r="T18" s="27"/>
      <c r="U18" s="27"/>
      <c r="V18" s="27"/>
      <c r="Y18" s="97">
        <v>3.8969999999999998</v>
      </c>
      <c r="Z18" s="97">
        <v>9.3620000000000001</v>
      </c>
      <c r="AB18" s="99">
        <f t="shared" si="12"/>
        <v>0.26291381939919667</v>
      </c>
      <c r="AC18" s="86">
        <f t="shared" si="5"/>
        <v>0.1</v>
      </c>
      <c r="AD18" s="86">
        <f t="shared" si="6"/>
        <v>10.892192662815299</v>
      </c>
      <c r="AE18" s="86">
        <f t="shared" si="13"/>
        <v>6.1722425089286697</v>
      </c>
      <c r="AF18" s="87"/>
      <c r="AG18" s="86">
        <f t="shared" si="14"/>
        <v>0.37775697569559613</v>
      </c>
      <c r="AH18" s="86">
        <f t="shared" si="7"/>
        <v>0.1</v>
      </c>
      <c r="AI18" s="86">
        <f t="shared" si="8"/>
        <v>13.004969224584265</v>
      </c>
      <c r="AJ18" s="86">
        <f t="shared" si="15"/>
        <v>7.3694825605977501</v>
      </c>
      <c r="AK18" s="87"/>
      <c r="AL18" s="86">
        <f t="shared" si="16"/>
        <v>0.2</v>
      </c>
      <c r="AM18" s="86">
        <f t="shared" si="9"/>
        <v>9.4999999999999964</v>
      </c>
      <c r="AN18" s="86">
        <f t="shared" si="10"/>
        <v>5.383333333333332</v>
      </c>
      <c r="AO18" s="87"/>
      <c r="AP18" s="86">
        <f>-1*AP16</f>
        <v>2.5</v>
      </c>
      <c r="AQ18" s="86">
        <f>-1*AQ16</f>
        <v>500</v>
      </c>
      <c r="AR18" s="87"/>
      <c r="AS18" s="86">
        <f>H10</f>
        <v>2.5</v>
      </c>
      <c r="AT18" s="86">
        <f>D10</f>
        <v>500</v>
      </c>
      <c r="AV18" s="90">
        <f t="shared" si="11"/>
        <v>2</v>
      </c>
      <c r="AW18" s="90">
        <f t="shared" si="0"/>
        <v>2.6291381939919667</v>
      </c>
      <c r="AX18" s="90">
        <f t="shared" si="1"/>
        <v>3.5</v>
      </c>
      <c r="AY18" s="90">
        <f t="shared" si="2"/>
        <v>9.3618638434328503</v>
      </c>
      <c r="AZ18" s="90">
        <f t="shared" si="3"/>
        <v>16.442855284238007</v>
      </c>
      <c r="BA18" s="90">
        <f t="shared" si="4"/>
        <v>58.887848784779806</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Y19" s="97">
        <v>3.8969999999999998</v>
      </c>
      <c r="Z19" s="97">
        <v>9.3620000000000001</v>
      </c>
      <c r="AB19" s="99">
        <f t="shared" si="12"/>
        <v>0.394370729098795</v>
      </c>
      <c r="AC19" s="86">
        <f t="shared" si="5"/>
        <v>0.15</v>
      </c>
      <c r="AD19" s="86">
        <f t="shared" si="6"/>
        <v>15.908334020690774</v>
      </c>
      <c r="AE19" s="86">
        <f t="shared" si="13"/>
        <v>9.0147226117247712</v>
      </c>
      <c r="AF19" s="87"/>
      <c r="AG19" s="86">
        <f t="shared" si="14"/>
        <v>0.56663546354339422</v>
      </c>
      <c r="AH19" s="86">
        <f t="shared" si="7"/>
        <v>0.15000000000000002</v>
      </c>
      <c r="AI19" s="86">
        <f t="shared" si="8"/>
        <v>18.726088435470551</v>
      </c>
      <c r="AJ19" s="86">
        <f t="shared" si="15"/>
        <v>10.611450113433312</v>
      </c>
      <c r="AK19" s="87"/>
      <c r="AL19" s="86">
        <f>AL18+$K$5/20</f>
        <v>0.30000000000000004</v>
      </c>
      <c r="AM19" s="86">
        <f t="shared" si="9"/>
        <v>13.875000000000004</v>
      </c>
      <c r="AN19" s="86">
        <f t="shared" si="10"/>
        <v>7.8625000000000016</v>
      </c>
      <c r="AO19" s="87"/>
      <c r="AP19" s="86">
        <f>-1*AP15</f>
        <v>45</v>
      </c>
      <c r="AQ19" s="86">
        <f>AQ18</f>
        <v>500</v>
      </c>
      <c r="AR19" s="87"/>
      <c r="AS19" s="86">
        <f>J10</f>
        <v>45</v>
      </c>
      <c r="AT19" s="86">
        <f>E10</f>
        <v>540</v>
      </c>
      <c r="AV19" s="90">
        <f t="shared" si="11"/>
        <v>2</v>
      </c>
      <c r="AW19" s="90">
        <f t="shared" si="0"/>
        <v>2.6291381939919667</v>
      </c>
      <c r="AX19" s="90">
        <f t="shared" si="1"/>
        <v>3.5</v>
      </c>
      <c r="AY19" s="90">
        <f t="shared" si="2"/>
        <v>9.3618638434328503</v>
      </c>
      <c r="AZ19" s="90">
        <f t="shared" si="3"/>
        <v>16.442855284238007</v>
      </c>
      <c r="BA19" s="90">
        <f t="shared" si="4"/>
        <v>58.887848784779806</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Y20" s="97">
        <v>3.8969999999999998</v>
      </c>
      <c r="Z20" s="97">
        <v>9.3620000000000001</v>
      </c>
      <c r="AB20" s="99">
        <f t="shared" si="12"/>
        <v>0.52582763879839334</v>
      </c>
      <c r="AC20" s="86">
        <f t="shared" si="5"/>
        <v>0.2</v>
      </c>
      <c r="AD20" s="86">
        <f t="shared" si="6"/>
        <v>20.637838729544775</v>
      </c>
      <c r="AE20" s="86">
        <f t="shared" si="13"/>
        <v>11.694775280075371</v>
      </c>
      <c r="AF20" s="87"/>
      <c r="AG20" s="86">
        <f t="shared" si="14"/>
        <v>0.75551395139119226</v>
      </c>
      <c r="AH20" s="86">
        <f t="shared" si="7"/>
        <v>0.2</v>
      </c>
      <c r="AI20" s="86">
        <f t="shared" si="8"/>
        <v>23.964512445502429</v>
      </c>
      <c r="AJ20" s="86">
        <f t="shared" si="15"/>
        <v>13.57989038578471</v>
      </c>
      <c r="AK20" s="87"/>
      <c r="AL20" s="86">
        <f t="shared" si="16"/>
        <v>0.4</v>
      </c>
      <c r="AM20" s="86">
        <f t="shared" si="9"/>
        <v>17.999999999999993</v>
      </c>
      <c r="AN20" s="86">
        <f t="shared" si="10"/>
        <v>10.199999999999996</v>
      </c>
      <c r="AO20" s="87"/>
      <c r="AV20" s="90">
        <f t="shared" si="11"/>
        <v>2</v>
      </c>
      <c r="AW20" s="90">
        <f t="shared" si="0"/>
        <v>2.6291381939919667</v>
      </c>
      <c r="AX20" s="90">
        <f t="shared" si="1"/>
        <v>3.5</v>
      </c>
      <c r="AY20" s="90">
        <f t="shared" si="2"/>
        <v>9.3618638434328503</v>
      </c>
      <c r="AZ20" s="90">
        <f t="shared" si="3"/>
        <v>16.442855284238007</v>
      </c>
      <c r="BA20" s="90">
        <f t="shared" si="4"/>
        <v>58.887848784779806</v>
      </c>
    </row>
    <row r="21" spans="3:53" ht="16.5" thickTop="1" thickBot="1" x14ac:dyDescent="0.3">
      <c r="C21" s="61">
        <v>8</v>
      </c>
      <c r="D21" s="62">
        <v>100</v>
      </c>
      <c r="E21" s="22">
        <f>(N18+1)*C21^2*PI()/4</f>
        <v>402.12385965949352</v>
      </c>
      <c r="F21" s="22">
        <f>(M18+1)*C21^2*PI()/4</f>
        <v>150.79644737231007</v>
      </c>
      <c r="G21" s="22">
        <f>E21/(D21*G15)*100</f>
        <v>0.29309319217164248</v>
      </c>
      <c r="H21" s="22">
        <f>F21/(D21*F15)*100</f>
        <v>0.46831194836121143</v>
      </c>
      <c r="I21" s="22">
        <f>1-(M18*2*(K18^2)+N18*2*(L18^2))/(6*F15*G15)</f>
        <v>0.77063581168302031</v>
      </c>
      <c r="J21" s="22">
        <f>(1-D21/(2*F15))*(1-D21/(2*G15))</f>
        <v>0.81393622222624629</v>
      </c>
      <c r="K21" s="22">
        <f>I21*J21</f>
        <v>0.62724840127353454</v>
      </c>
      <c r="L21" s="22">
        <f>2*MIN(G21,H21)</f>
        <v>0.58618638434328496</v>
      </c>
      <c r="M21" s="22">
        <f>L21/100*D10/E5</f>
        <v>5.8618638434328491E-2</v>
      </c>
      <c r="N21" s="23">
        <f>0.5*M21*E5</f>
        <v>1.4654659608582123</v>
      </c>
      <c r="O21" s="27"/>
      <c r="P21" s="27"/>
      <c r="Q21" s="27"/>
      <c r="R21" s="27"/>
      <c r="S21" s="27"/>
      <c r="T21" s="27"/>
      <c r="U21" s="27"/>
      <c r="V21" s="27"/>
      <c r="Y21" s="97">
        <v>3.8969999999999998</v>
      </c>
      <c r="Z21" s="97">
        <v>9.3620000000000001</v>
      </c>
      <c r="AB21" s="99">
        <f t="shared" si="12"/>
        <v>0.65728454849799167</v>
      </c>
      <c r="AC21" s="86">
        <f t="shared" si="5"/>
        <v>0.25</v>
      </c>
      <c r="AD21" s="86">
        <f t="shared" si="6"/>
        <v>25.080706789377338</v>
      </c>
      <c r="AE21" s="86">
        <f t="shared" si="13"/>
        <v>14.212400513980491</v>
      </c>
      <c r="AF21" s="87"/>
      <c r="AG21" s="86">
        <f t="shared" si="14"/>
        <v>0.9443924392389903</v>
      </c>
      <c r="AH21" s="86">
        <f t="shared" si="7"/>
        <v>0.25</v>
      </c>
      <c r="AI21" s="86">
        <f t="shared" si="8"/>
        <v>28.746321575108642</v>
      </c>
      <c r="AJ21" s="86">
        <f t="shared" si="15"/>
        <v>16.289582225894897</v>
      </c>
      <c r="AK21" s="87"/>
      <c r="AL21" s="86">
        <f t="shared" si="16"/>
        <v>0.5</v>
      </c>
      <c r="AM21" s="86">
        <f t="shared" si="9"/>
        <v>21.875</v>
      </c>
      <c r="AN21" s="86">
        <f t="shared" si="10"/>
        <v>12.395833333333334</v>
      </c>
      <c r="AO21" s="87"/>
      <c r="AP21" s="133" t="s">
        <v>70</v>
      </c>
      <c r="AQ21" s="133"/>
      <c r="AR21" s="53"/>
      <c r="AS21" s="133" t="s">
        <v>70</v>
      </c>
      <c r="AT21" s="133"/>
      <c r="AV21" s="90">
        <f t="shared" si="11"/>
        <v>2</v>
      </c>
      <c r="AW21" s="90">
        <f t="shared" si="0"/>
        <v>2.6291381939919667</v>
      </c>
      <c r="AX21" s="90">
        <f t="shared" si="1"/>
        <v>3.5</v>
      </c>
      <c r="AY21" s="90">
        <f t="shared" si="2"/>
        <v>9.3618638434328503</v>
      </c>
      <c r="AZ21" s="90">
        <f t="shared" si="3"/>
        <v>16.442855284238007</v>
      </c>
      <c r="BA21" s="90">
        <f t="shared" si="4"/>
        <v>58.887848784779806</v>
      </c>
    </row>
    <row r="22" spans="3:53" ht="18.75" thickBot="1" x14ac:dyDescent="0.3">
      <c r="Y22" s="97">
        <v>3.8969999999999998</v>
      </c>
      <c r="Z22" s="97">
        <v>9.3620000000000001</v>
      </c>
      <c r="AB22" s="99">
        <f t="shared" si="12"/>
        <v>0.78874145819759001</v>
      </c>
      <c r="AC22" s="86">
        <f t="shared" si="5"/>
        <v>0.3</v>
      </c>
      <c r="AD22" s="86">
        <f t="shared" si="6"/>
        <v>29.23693820018844</v>
      </c>
      <c r="AE22" s="86">
        <f t="shared" si="13"/>
        <v>16.567598313440115</v>
      </c>
      <c r="AF22" s="87"/>
      <c r="AG22" s="86">
        <f t="shared" si="14"/>
        <v>1.1332709270867884</v>
      </c>
      <c r="AH22" s="86">
        <f t="shared" si="7"/>
        <v>0.30000000000000004</v>
      </c>
      <c r="AI22" s="86">
        <f t="shared" si="8"/>
        <v>33.09575053669495</v>
      </c>
      <c r="AJ22" s="86">
        <f t="shared" si="15"/>
        <v>18.75425863746047</v>
      </c>
      <c r="AK22" s="87"/>
      <c r="AL22" s="86">
        <f t="shared" si="16"/>
        <v>0.6</v>
      </c>
      <c r="AM22" s="86">
        <f t="shared" si="9"/>
        <v>25.5</v>
      </c>
      <c r="AN22" s="86">
        <f t="shared" si="10"/>
        <v>14.450000000000001</v>
      </c>
      <c r="AO22" s="87"/>
      <c r="AP22" s="45" t="s">
        <v>34</v>
      </c>
      <c r="AQ22" s="45" t="s">
        <v>72</v>
      </c>
      <c r="AR22" s="57"/>
      <c r="AS22" s="45" t="s">
        <v>34</v>
      </c>
      <c r="AT22" s="45" t="s">
        <v>72</v>
      </c>
      <c r="AV22" s="90">
        <f t="shared" si="11"/>
        <v>2</v>
      </c>
      <c r="AW22" s="90">
        <f t="shared" si="0"/>
        <v>2.6291381939919667</v>
      </c>
      <c r="AX22" s="90">
        <f t="shared" si="1"/>
        <v>3.5</v>
      </c>
      <c r="AY22" s="90">
        <f t="shared" si="2"/>
        <v>9.3618638434328503</v>
      </c>
      <c r="AZ22" s="90">
        <f t="shared" si="3"/>
        <v>16.442855284238007</v>
      </c>
      <c r="BA22" s="90">
        <f t="shared" si="4"/>
        <v>58.887848784779806</v>
      </c>
    </row>
    <row r="23" spans="3:53" ht="15.75" thickBot="1" x14ac:dyDescent="0.3">
      <c r="C23" s="146" t="s">
        <v>110</v>
      </c>
      <c r="D23" s="140"/>
      <c r="E23" s="141"/>
      <c r="F23" s="139" t="s">
        <v>111</v>
      </c>
      <c r="G23" s="140"/>
      <c r="H23" s="141"/>
      <c r="I23" s="139" t="s">
        <v>112</v>
      </c>
      <c r="J23" s="140"/>
      <c r="K23" s="141"/>
      <c r="Y23" s="97">
        <v>3.8969999999999998</v>
      </c>
      <c r="Z23" s="97">
        <v>9.3620000000000001</v>
      </c>
      <c r="AB23" s="99">
        <f t="shared" si="12"/>
        <v>0.92019836789718834</v>
      </c>
      <c r="AC23" s="86">
        <f t="shared" si="5"/>
        <v>0.35</v>
      </c>
      <c r="AD23" s="86">
        <f t="shared" si="6"/>
        <v>33.106532961978083</v>
      </c>
      <c r="AE23" s="86">
        <f t="shared" si="13"/>
        <v>18.760368678454245</v>
      </c>
      <c r="AF23" s="87"/>
      <c r="AG23" s="86">
        <f t="shared" si="14"/>
        <v>1.3221494149345865</v>
      </c>
      <c r="AH23" s="86">
        <f t="shared" si="7"/>
        <v>0.35000000000000003</v>
      </c>
      <c r="AI23" s="86">
        <f t="shared" si="8"/>
        <v>37.035348855137883</v>
      </c>
      <c r="AJ23" s="86">
        <f t="shared" si="15"/>
        <v>20.986697684578132</v>
      </c>
      <c r="AK23" s="87"/>
      <c r="AL23" s="86">
        <f t="shared" si="16"/>
        <v>0.7</v>
      </c>
      <c r="AM23" s="86">
        <f t="shared" si="9"/>
        <v>28.874999999999996</v>
      </c>
      <c r="AN23" s="86">
        <f t="shared" si="10"/>
        <v>16.362499999999997</v>
      </c>
      <c r="AO23" s="87"/>
      <c r="AP23" s="38" t="s">
        <v>17</v>
      </c>
      <c r="AQ23" s="48" t="s">
        <v>15</v>
      </c>
      <c r="AR23" s="87"/>
      <c r="AS23" s="38" t="s">
        <v>17</v>
      </c>
      <c r="AT23" s="48" t="s">
        <v>15</v>
      </c>
      <c r="AV23" s="90">
        <f t="shared" si="11"/>
        <v>2</v>
      </c>
      <c r="AW23" s="90">
        <f t="shared" si="0"/>
        <v>2.6291381939919667</v>
      </c>
      <c r="AX23" s="90">
        <f t="shared" si="1"/>
        <v>3.5</v>
      </c>
      <c r="AY23" s="90">
        <f t="shared" si="2"/>
        <v>9.3618638434328503</v>
      </c>
      <c r="AZ23" s="90">
        <f t="shared" si="3"/>
        <v>16.442855284238007</v>
      </c>
      <c r="BA23" s="90">
        <f t="shared" si="4"/>
        <v>58.887848784779806</v>
      </c>
    </row>
    <row r="24" spans="3:53" ht="18.75" thickTop="1" x14ac:dyDescent="0.25">
      <c r="C24" s="44" t="s">
        <v>109</v>
      </c>
      <c r="D24" s="142" t="str">
        <f>IF(H15="Column",IF(C26&lt;0.01,"Increase RFT",IF(C26&gt;0.04,"Decrease RFT","Pass")),IF(H15="Wall",IF(C26&lt;0.005,"Increase RFT",IF(C26&gt;0.04,"Decrease RFT","Pass"))))</f>
        <v>Pass</v>
      </c>
      <c r="E24" s="143"/>
      <c r="F24" s="45" t="s">
        <v>82</v>
      </c>
      <c r="G24" s="142" t="str">
        <f>IF(D21&lt;MIN(F15/2,G15/2,175,8*C18),"Pass","Decrease Spacing")</f>
        <v>Pass</v>
      </c>
      <c r="H24" s="143"/>
      <c r="I24" s="45" t="s">
        <v>113</v>
      </c>
      <c r="J24" s="142" t="str">
        <f>IF(I26&gt;0.08,"Pass","Adjust Detail")</f>
        <v>Pass</v>
      </c>
      <c r="K24" s="143"/>
      <c r="Y24" s="97">
        <v>3.8969999999999998</v>
      </c>
      <c r="Z24" s="97">
        <v>9.3620000000000001</v>
      </c>
      <c r="AB24" s="99">
        <f t="shared" si="12"/>
        <v>1.0516552775967867</v>
      </c>
      <c r="AC24" s="86">
        <f t="shared" si="5"/>
        <v>0.4</v>
      </c>
      <c r="AD24" s="86">
        <f t="shared" si="6"/>
        <v>36.689491074746279</v>
      </c>
      <c r="AE24" s="86">
        <f t="shared" si="13"/>
        <v>20.790711609022889</v>
      </c>
      <c r="AF24" s="87"/>
      <c r="AG24" s="86">
        <f t="shared" si="14"/>
        <v>1.5110279027823845</v>
      </c>
      <c r="AH24" s="86">
        <f t="shared" si="7"/>
        <v>0.4</v>
      </c>
      <c r="AI24" s="86">
        <f t="shared" si="8"/>
        <v>40.586124841662304</v>
      </c>
      <c r="AJ24" s="86">
        <f t="shared" si="15"/>
        <v>22.998804076941969</v>
      </c>
      <c r="AK24" s="87"/>
      <c r="AL24" s="86">
        <f t="shared" si="16"/>
        <v>0.79999999999999993</v>
      </c>
      <c r="AM24" s="86">
        <f t="shared" si="9"/>
        <v>31.999999999999996</v>
      </c>
      <c r="AN24" s="86">
        <f t="shared" si="10"/>
        <v>18.133333333333329</v>
      </c>
      <c r="AO24" s="87"/>
      <c r="AP24" s="7">
        <f>AP15</f>
        <v>-45</v>
      </c>
      <c r="AQ24" s="7">
        <f>-D10/M10</f>
        <v>-434.78260869565219</v>
      </c>
      <c r="AR24" s="87"/>
      <c r="AS24" s="7">
        <f>-1*J10</f>
        <v>-45</v>
      </c>
      <c r="AT24" s="7">
        <f>-1*E10/M10</f>
        <v>-469.56521739130437</v>
      </c>
      <c r="AV24" s="90">
        <f t="shared" si="11"/>
        <v>2</v>
      </c>
      <c r="AW24" s="90">
        <f t="shared" si="0"/>
        <v>2.6291381939919667</v>
      </c>
      <c r="AX24" s="90">
        <f t="shared" si="1"/>
        <v>3.5</v>
      </c>
      <c r="AY24" s="90">
        <f t="shared" si="2"/>
        <v>9.3618638434328503</v>
      </c>
      <c r="AZ24" s="90">
        <f t="shared" si="3"/>
        <v>16.442855284238007</v>
      </c>
      <c r="BA24" s="90">
        <f t="shared" si="4"/>
        <v>58.887848784779806</v>
      </c>
    </row>
    <row r="25" spans="3:53" x14ac:dyDescent="0.25">
      <c r="C25" s="71" t="s">
        <v>57</v>
      </c>
      <c r="D25" s="142"/>
      <c r="E25" s="143"/>
      <c r="F25" s="86" t="s">
        <v>31</v>
      </c>
      <c r="G25" s="142"/>
      <c r="H25" s="143"/>
      <c r="I25" s="86" t="s">
        <v>14</v>
      </c>
      <c r="J25" s="142"/>
      <c r="K25" s="143"/>
      <c r="Y25" s="97">
        <v>3.8969999999999998</v>
      </c>
      <c r="Z25" s="97">
        <v>9.3620000000000001</v>
      </c>
      <c r="AB25" s="99">
        <f t="shared" si="12"/>
        <v>1.183112187296385</v>
      </c>
      <c r="AC25" s="86">
        <f t="shared" si="5"/>
        <v>0.45</v>
      </c>
      <c r="AD25" s="86">
        <f t="shared" si="6"/>
        <v>39.985812538493015</v>
      </c>
      <c r="AE25" s="86">
        <f t="shared" si="13"/>
        <v>22.658627105146042</v>
      </c>
      <c r="AF25" s="87"/>
      <c r="AG25" s="86">
        <f t="shared" si="14"/>
        <v>1.6999063906301826</v>
      </c>
      <c r="AH25" s="86">
        <f t="shared" si="7"/>
        <v>0.45</v>
      </c>
      <c r="AI25" s="86">
        <f t="shared" si="8"/>
        <v>43.767675055216067</v>
      </c>
      <c r="AJ25" s="86">
        <f t="shared" si="15"/>
        <v>24.801682531289103</v>
      </c>
      <c r="AK25" s="87"/>
      <c r="AL25" s="86">
        <f t="shared" si="16"/>
        <v>0.89999999999999991</v>
      </c>
      <c r="AM25" s="86">
        <f t="shared" si="9"/>
        <v>34.875</v>
      </c>
      <c r="AN25" s="86">
        <f t="shared" si="10"/>
        <v>19.762499999999999</v>
      </c>
      <c r="AO25" s="87"/>
      <c r="AP25" s="86">
        <f>-D10/M10/G10</f>
        <v>-2.1739130434782608</v>
      </c>
      <c r="AQ25" s="86">
        <f>AQ24</f>
        <v>-434.78260869565219</v>
      </c>
      <c r="AR25" s="87"/>
      <c r="AS25" s="86">
        <f>-1*D10/G10/M10</f>
        <v>-2.1739130434782612</v>
      </c>
      <c r="AT25" s="86">
        <f>-1*D10/M10</f>
        <v>-434.78260869565219</v>
      </c>
      <c r="AV25" s="90">
        <f t="shared" si="11"/>
        <v>2</v>
      </c>
      <c r="AW25" s="90">
        <f t="shared" si="0"/>
        <v>2.6291381939919667</v>
      </c>
      <c r="AX25" s="90">
        <f t="shared" si="1"/>
        <v>3.5</v>
      </c>
      <c r="AY25" s="90">
        <f t="shared" si="2"/>
        <v>9.3618638434328503</v>
      </c>
      <c r="AZ25" s="90">
        <f t="shared" si="3"/>
        <v>16.442855284238007</v>
      </c>
      <c r="BA25" s="90">
        <f t="shared" si="4"/>
        <v>58.887848784779806</v>
      </c>
    </row>
    <row r="26" spans="3:53" ht="15.75" thickBot="1" x14ac:dyDescent="0.3">
      <c r="C26" s="72">
        <f>IF(G18=1,C18^2*PI()/4*2*(F18+1)/(C15*D15),C18^2*PI()/4*(2*(F18+1)+2*G18)/(C15*D15))</f>
        <v>6.9331699941291985E-3</v>
      </c>
      <c r="D26" s="144"/>
      <c r="E26" s="145"/>
      <c r="F26" s="34">
        <f>D21</f>
        <v>100</v>
      </c>
      <c r="G26" s="144"/>
      <c r="H26" s="145"/>
      <c r="I26" s="34">
        <f>L21/100*AQ28/AN37</f>
        <v>8.9951874835286702E-2</v>
      </c>
      <c r="J26" s="144"/>
      <c r="K26" s="145"/>
      <c r="Y26" s="97">
        <v>3.8969999999999998</v>
      </c>
      <c r="Z26" s="97">
        <v>9.3620000000000001</v>
      </c>
      <c r="AB26" s="99">
        <f t="shared" si="12"/>
        <v>1.3145690969959833</v>
      </c>
      <c r="AC26" s="86">
        <f t="shared" si="5"/>
        <v>0.5</v>
      </c>
      <c r="AD26" s="86">
        <f t="shared" si="6"/>
        <v>42.995497353218298</v>
      </c>
      <c r="AE26" s="86">
        <f t="shared" si="13"/>
        <v>24.364115166823698</v>
      </c>
      <c r="AF26" s="87"/>
      <c r="AG26" s="86">
        <f t="shared" si="14"/>
        <v>1.8887848784779806</v>
      </c>
      <c r="AH26" s="86">
        <f t="shared" si="7"/>
        <v>0.5</v>
      </c>
      <c r="AI26" s="86">
        <f t="shared" si="8"/>
        <v>46.598300929806825</v>
      </c>
      <c r="AJ26" s="86">
        <f t="shared" si="15"/>
        <v>26.405703860223866</v>
      </c>
      <c r="AK26" s="87"/>
      <c r="AL26" s="86">
        <f t="shared" si="16"/>
        <v>0.99999999999999989</v>
      </c>
      <c r="AM26" s="86">
        <f t="shared" si="9"/>
        <v>37.5</v>
      </c>
      <c r="AN26" s="86">
        <f t="shared" si="10"/>
        <v>21.25</v>
      </c>
      <c r="AO26" s="87"/>
      <c r="AP26" s="86">
        <v>0</v>
      </c>
      <c r="AQ26" s="86">
        <f>0</f>
        <v>0</v>
      </c>
      <c r="AR26" s="87"/>
      <c r="AS26" s="86">
        <f>0</f>
        <v>0</v>
      </c>
      <c r="AT26" s="86">
        <f>0</f>
        <v>0</v>
      </c>
      <c r="AV26" s="90">
        <f t="shared" si="11"/>
        <v>2</v>
      </c>
      <c r="AW26" s="90">
        <f t="shared" si="0"/>
        <v>2.6291381939919667</v>
      </c>
      <c r="AX26" s="90">
        <f t="shared" si="1"/>
        <v>3.5</v>
      </c>
      <c r="AY26" s="90">
        <f t="shared" si="2"/>
        <v>9.3618638434328503</v>
      </c>
      <c r="AZ26" s="90">
        <f t="shared" si="3"/>
        <v>16.442855284238007</v>
      </c>
      <c r="BA26" s="90">
        <f t="shared" si="4"/>
        <v>58.887848784779806</v>
      </c>
    </row>
    <row r="27" spans="3:53" ht="15.75" thickBot="1" x14ac:dyDescent="0.3">
      <c r="Y27" s="97">
        <v>3.8969999999999998</v>
      </c>
      <c r="Z27" s="97">
        <v>9.3620000000000001</v>
      </c>
      <c r="AB27" s="99">
        <f t="shared" si="12"/>
        <v>1.4460260066955817</v>
      </c>
      <c r="AC27" s="86">
        <f t="shared" si="5"/>
        <v>0.55000000000000004</v>
      </c>
      <c r="AD27" s="86">
        <f t="shared" si="6"/>
        <v>45.718545518922127</v>
      </c>
      <c r="AE27" s="86">
        <f t="shared" si="13"/>
        <v>25.90717579405587</v>
      </c>
      <c r="AF27" s="87"/>
      <c r="AG27" s="86">
        <f t="shared" si="14"/>
        <v>2.0776633663257789</v>
      </c>
      <c r="AH27" s="86">
        <f t="shared" si="7"/>
        <v>0.55000000000000004</v>
      </c>
      <c r="AI27" s="86">
        <f t="shared" si="8"/>
        <v>49.095114028013967</v>
      </c>
      <c r="AJ27" s="86">
        <f t="shared" si="15"/>
        <v>27.820564615874577</v>
      </c>
      <c r="AK27" s="87"/>
      <c r="AL27" s="86">
        <f t="shared" si="16"/>
        <v>1.0999999999999999</v>
      </c>
      <c r="AM27" s="86">
        <f t="shared" si="9"/>
        <v>39.874999999999993</v>
      </c>
      <c r="AN27" s="86">
        <f t="shared" si="10"/>
        <v>22.595833333333328</v>
      </c>
      <c r="AO27" s="87"/>
      <c r="AP27" s="86">
        <f>-AP25</f>
        <v>2.1739130434782608</v>
      </c>
      <c r="AQ27" s="86">
        <f>-AQ25</f>
        <v>434.78260869565219</v>
      </c>
      <c r="AR27" s="87"/>
      <c r="AS27" s="86">
        <f>D10/G10/M10</f>
        <v>2.1739130434782612</v>
      </c>
      <c r="AT27" s="86">
        <f>D10/M10</f>
        <v>434.78260869565219</v>
      </c>
      <c r="AV27" s="90">
        <f t="shared" si="11"/>
        <v>2</v>
      </c>
      <c r="AW27" s="90">
        <f t="shared" si="0"/>
        <v>2.6291381939919667</v>
      </c>
      <c r="AX27" s="90">
        <f t="shared" si="1"/>
        <v>3.5</v>
      </c>
      <c r="AY27" s="90">
        <f t="shared" si="2"/>
        <v>9.3618638434328503</v>
      </c>
      <c r="AZ27" s="90">
        <f t="shared" si="3"/>
        <v>16.442855284238007</v>
      </c>
      <c r="BA27" s="90">
        <f t="shared" si="4"/>
        <v>58.887848784779806</v>
      </c>
    </row>
    <row r="28" spans="3:53" x14ac:dyDescent="0.25">
      <c r="C28" s="129" t="s">
        <v>91</v>
      </c>
      <c r="D28" s="130"/>
      <c r="E28" s="130"/>
      <c r="F28" s="131"/>
      <c r="H28" s="129" t="s">
        <v>92</v>
      </c>
      <c r="I28" s="130"/>
      <c r="J28" s="130"/>
      <c r="K28" s="131"/>
      <c r="Y28" s="97">
        <v>3.8969999999999998</v>
      </c>
      <c r="Z28" s="97">
        <v>9.3620000000000001</v>
      </c>
      <c r="AB28" s="99">
        <f t="shared" si="12"/>
        <v>1.57748291639518</v>
      </c>
      <c r="AC28" s="86">
        <f t="shared" si="5"/>
        <v>0.6</v>
      </c>
      <c r="AD28" s="86">
        <f t="shared" si="6"/>
        <v>48.15495703560449</v>
      </c>
      <c r="AE28" s="86">
        <f t="shared" si="13"/>
        <v>27.287808986842546</v>
      </c>
      <c r="AF28" s="87"/>
      <c r="AG28" s="86">
        <f t="shared" si="14"/>
        <v>2.2665418541735769</v>
      </c>
      <c r="AH28" s="86">
        <f t="shared" si="7"/>
        <v>0.60000000000000009</v>
      </c>
      <c r="AI28" s="86">
        <f t="shared" si="8"/>
        <v>51.274131194053652</v>
      </c>
      <c r="AJ28" s="86">
        <f t="shared" si="15"/>
        <v>29.055341009963737</v>
      </c>
      <c r="AK28" s="87"/>
      <c r="AL28" s="86">
        <f t="shared" si="16"/>
        <v>1.2</v>
      </c>
      <c r="AM28" s="86">
        <f t="shared" si="9"/>
        <v>42</v>
      </c>
      <c r="AN28" s="86">
        <f t="shared" si="10"/>
        <v>23.799999999999997</v>
      </c>
      <c r="AO28" s="87"/>
      <c r="AP28" s="86">
        <f>-AP24</f>
        <v>45</v>
      </c>
      <c r="AQ28" s="86">
        <f>-AQ25</f>
        <v>434.78260869565219</v>
      </c>
      <c r="AR28" s="87"/>
      <c r="AS28" s="86">
        <f>J10</f>
        <v>45</v>
      </c>
      <c r="AT28" s="86">
        <f>E10/M10</f>
        <v>469.56521739130437</v>
      </c>
      <c r="AV28" s="90">
        <f t="shared" si="11"/>
        <v>2</v>
      </c>
      <c r="AW28" s="90">
        <f t="shared" si="0"/>
        <v>2.6291381939919667</v>
      </c>
      <c r="AX28" s="90">
        <f t="shared" si="1"/>
        <v>3.5</v>
      </c>
      <c r="AY28" s="90">
        <f t="shared" si="2"/>
        <v>9.3618638434328503</v>
      </c>
      <c r="AZ28" s="90">
        <f t="shared" si="3"/>
        <v>16.442855284238007</v>
      </c>
      <c r="BA28" s="90">
        <f t="shared" si="4"/>
        <v>58.887848784779806</v>
      </c>
    </row>
    <row r="29" spans="3:53" x14ac:dyDescent="0.25">
      <c r="C29" s="73" t="s">
        <v>61</v>
      </c>
      <c r="D29" s="3" t="s">
        <v>62</v>
      </c>
      <c r="E29" s="3" t="s">
        <v>63</v>
      </c>
      <c r="F29" s="74" t="s">
        <v>66</v>
      </c>
      <c r="H29" s="73" t="s">
        <v>61</v>
      </c>
      <c r="I29" s="3" t="s">
        <v>62</v>
      </c>
      <c r="J29" s="3" t="s">
        <v>63</v>
      </c>
      <c r="K29" s="74" t="s">
        <v>66</v>
      </c>
      <c r="Y29" s="97">
        <v>3.8969999999999998</v>
      </c>
      <c r="Z29" s="97">
        <v>9.3620000000000001</v>
      </c>
      <c r="AB29" s="99">
        <f t="shared" si="12"/>
        <v>1.7089398260947783</v>
      </c>
      <c r="AC29" s="86">
        <f t="shared" si="5"/>
        <v>0.65</v>
      </c>
      <c r="AD29" s="86">
        <f t="shared" si="6"/>
        <v>50.304731903265406</v>
      </c>
      <c r="AE29" s="86">
        <f t="shared" si="13"/>
        <v>28.50601474518373</v>
      </c>
      <c r="AF29" s="87"/>
      <c r="AG29" s="86">
        <f t="shared" si="14"/>
        <v>2.4554203420213749</v>
      </c>
      <c r="AH29" s="86">
        <f t="shared" si="7"/>
        <v>0.65</v>
      </c>
      <c r="AI29" s="86">
        <f t="shared" si="8"/>
        <v>53.150360719410301</v>
      </c>
      <c r="AJ29" s="86">
        <f t="shared" si="15"/>
        <v>30.118537740999169</v>
      </c>
      <c r="AK29" s="87"/>
      <c r="AL29" s="86">
        <f t="shared" si="16"/>
        <v>1.3</v>
      </c>
      <c r="AM29" s="86">
        <f t="shared" si="9"/>
        <v>43.875</v>
      </c>
      <c r="AN29" s="86">
        <f t="shared" si="10"/>
        <v>24.862499999999997</v>
      </c>
      <c r="AO29" s="87"/>
      <c r="AV29" s="90">
        <f t="shared" si="11"/>
        <v>2</v>
      </c>
      <c r="AW29" s="90">
        <f t="shared" si="0"/>
        <v>2.6291381939919667</v>
      </c>
      <c r="AX29" s="90">
        <f t="shared" si="1"/>
        <v>3.5</v>
      </c>
      <c r="AY29" s="90">
        <f t="shared" si="2"/>
        <v>9.3618638434328503</v>
      </c>
      <c r="AZ29" s="90">
        <f t="shared" si="3"/>
        <v>16.442855284238007</v>
      </c>
      <c r="BA29" s="90">
        <f t="shared" si="4"/>
        <v>58.887848784779806</v>
      </c>
    </row>
    <row r="30" spans="3:53" ht="15.75" thickBot="1" x14ac:dyDescent="0.3">
      <c r="C30" s="75" t="s">
        <v>15</v>
      </c>
      <c r="D30" s="38" t="s">
        <v>17</v>
      </c>
      <c r="E30" s="38" t="s">
        <v>17</v>
      </c>
      <c r="F30" s="76" t="s">
        <v>15</v>
      </c>
      <c r="H30" s="75" t="s">
        <v>15</v>
      </c>
      <c r="I30" s="38" t="s">
        <v>17</v>
      </c>
      <c r="J30" s="38" t="s">
        <v>17</v>
      </c>
      <c r="K30" s="76" t="s">
        <v>15</v>
      </c>
      <c r="Y30" s="97">
        <v>3.8969999999999998</v>
      </c>
      <c r="Z30" s="97">
        <v>9.3620000000000001</v>
      </c>
      <c r="AB30" s="99">
        <f t="shared" si="12"/>
        <v>1.8403967357943767</v>
      </c>
      <c r="AC30" s="86">
        <f t="shared" si="5"/>
        <v>0.7</v>
      </c>
      <c r="AD30" s="86">
        <f t="shared" si="6"/>
        <v>52.167870121904862</v>
      </c>
      <c r="AE30" s="86">
        <f t="shared" si="13"/>
        <v>29.561793069079418</v>
      </c>
      <c r="AF30" s="87"/>
      <c r="AG30" s="86">
        <f t="shared" si="14"/>
        <v>2.644298829869173</v>
      </c>
      <c r="AH30" s="86">
        <f t="shared" si="7"/>
        <v>0.70000000000000007</v>
      </c>
      <c r="AI30" s="86">
        <f t="shared" si="8"/>
        <v>54.737880496050657</v>
      </c>
      <c r="AJ30" s="86">
        <f t="shared" si="15"/>
        <v>31.018132281095372</v>
      </c>
      <c r="AK30" s="87"/>
      <c r="AL30" s="86">
        <f t="shared" si="16"/>
        <v>1.4000000000000001</v>
      </c>
      <c r="AM30" s="86">
        <f t="shared" si="9"/>
        <v>45.5</v>
      </c>
      <c r="AN30" s="86">
        <f t="shared" si="10"/>
        <v>25.783333333333331</v>
      </c>
      <c r="AO30" s="87"/>
      <c r="AV30" s="90">
        <f t="shared" si="11"/>
        <v>2</v>
      </c>
      <c r="AW30" s="90">
        <f t="shared" si="0"/>
        <v>2.6291381939919667</v>
      </c>
      <c r="AX30" s="90">
        <f t="shared" si="1"/>
        <v>3.5</v>
      </c>
      <c r="AY30" s="90">
        <f t="shared" si="2"/>
        <v>9.3618638434328503</v>
      </c>
      <c r="AZ30" s="90">
        <f t="shared" si="3"/>
        <v>16.442855284238007</v>
      </c>
      <c r="BA30" s="90">
        <f t="shared" si="4"/>
        <v>58.887848784779806</v>
      </c>
    </row>
    <row r="31" spans="3:53" ht="15.75" customHeight="1" thickTop="1" thickBot="1" x14ac:dyDescent="0.3">
      <c r="C31" s="9">
        <f>IF(N21&lt;=0.05*E5,E5*(1+5*N21/E5),E5*(1.125+2.5*N21/E5))</f>
        <v>57.327329804291061</v>
      </c>
      <c r="D31" s="10">
        <f>K5*(C31/E5)^2</f>
        <v>2.6291381939919667</v>
      </c>
      <c r="E31" s="11">
        <f>L5+0.2*N21/E5*1000</f>
        <v>9.3618638434328503</v>
      </c>
      <c r="F31" s="89">
        <f>$N$10*C31/L10</f>
        <v>32.485486889098269</v>
      </c>
      <c r="H31" s="9">
        <f>$E$5*(1+3.7*(N21/E5)^0.86)</f>
        <v>58.887848784779806</v>
      </c>
      <c r="I31" s="10">
        <f>$K$5*(1+5*(H31/E5-1))</f>
        <v>3.7775697569559612</v>
      </c>
      <c r="J31" s="11">
        <f>(4/1000+0.5*N21/H31)*1000</f>
        <v>16.442855284238007</v>
      </c>
      <c r="K31" s="89">
        <f>H31*N10/L10</f>
        <v>33.369780978041888</v>
      </c>
      <c r="Y31" s="97">
        <v>3.8969999999999998</v>
      </c>
      <c r="Z31" s="97">
        <v>9.3620000000000001</v>
      </c>
      <c r="AB31" s="99">
        <f t="shared" si="12"/>
        <v>1.971853645493975</v>
      </c>
      <c r="AC31" s="86">
        <f t="shared" si="5"/>
        <v>0.75</v>
      </c>
      <c r="AD31" s="86">
        <f t="shared" si="6"/>
        <v>53.744371691522872</v>
      </c>
      <c r="AE31" s="86">
        <f t="shared" si="13"/>
        <v>30.455143958529629</v>
      </c>
      <c r="AF31" s="87"/>
      <c r="AG31" s="86">
        <f t="shared" si="14"/>
        <v>2.833177317716971</v>
      </c>
      <c r="AH31" s="86">
        <f t="shared" si="7"/>
        <v>0.75</v>
      </c>
      <c r="AI31" s="86">
        <f t="shared" si="8"/>
        <v>56.04990901319519</v>
      </c>
      <c r="AJ31" s="86">
        <f t="shared" si="15"/>
        <v>31.761615107477272</v>
      </c>
      <c r="AK31" s="87"/>
      <c r="AL31" s="86">
        <f t="shared" si="16"/>
        <v>1.5000000000000002</v>
      </c>
      <c r="AM31" s="86">
        <f t="shared" si="9"/>
        <v>46.875</v>
      </c>
      <c r="AN31" s="86">
        <f t="shared" si="10"/>
        <v>26.5625</v>
      </c>
      <c r="AO31" s="87"/>
      <c r="AV31" s="90">
        <f t="shared" si="11"/>
        <v>2</v>
      </c>
      <c r="AW31" s="90">
        <f t="shared" si="0"/>
        <v>2.6291381939919667</v>
      </c>
      <c r="AX31" s="90">
        <f t="shared" si="1"/>
        <v>3.5</v>
      </c>
      <c r="AY31" s="90">
        <f t="shared" si="2"/>
        <v>9.3618638434328503</v>
      </c>
      <c r="AZ31" s="90">
        <f t="shared" si="3"/>
        <v>16.442855284238007</v>
      </c>
      <c r="BA31" s="90">
        <f t="shared" si="4"/>
        <v>58.887848784779806</v>
      </c>
    </row>
    <row r="32" spans="3:53" ht="15.75" customHeight="1" x14ac:dyDescent="0.25">
      <c r="Y32" s="97">
        <v>3.8969999999999998</v>
      </c>
      <c r="Z32" s="97">
        <v>9.3620000000000001</v>
      </c>
      <c r="AB32" s="99">
        <f t="shared" si="12"/>
        <v>2.1033105551935734</v>
      </c>
      <c r="AC32" s="86">
        <f t="shared" si="5"/>
        <v>0.8</v>
      </c>
      <c r="AD32" s="86">
        <f t="shared" si="6"/>
        <v>55.034236612119415</v>
      </c>
      <c r="AE32" s="86">
        <f t="shared" si="13"/>
        <v>31.186067413534335</v>
      </c>
      <c r="AF32" s="87"/>
      <c r="AG32" s="86">
        <f t="shared" si="14"/>
        <v>3.022055805564769</v>
      </c>
      <c r="AH32" s="86">
        <f t="shared" si="7"/>
        <v>0.8</v>
      </c>
      <c r="AI32" s="86">
        <f t="shared" si="8"/>
        <v>57.098869950683458</v>
      </c>
      <c r="AJ32" s="86">
        <f t="shared" si="15"/>
        <v>32.356026305387296</v>
      </c>
      <c r="AK32" s="87"/>
      <c r="AL32" s="86">
        <f t="shared" si="16"/>
        <v>1.6000000000000003</v>
      </c>
      <c r="AM32" s="86">
        <f t="shared" si="9"/>
        <v>48.000000000000007</v>
      </c>
      <c r="AN32" s="86">
        <f t="shared" si="10"/>
        <v>27.200000000000003</v>
      </c>
      <c r="AO32" s="87"/>
      <c r="AV32" s="90">
        <f t="shared" si="11"/>
        <v>2</v>
      </c>
      <c r="AW32" s="90">
        <f t="shared" si="0"/>
        <v>2.6291381939919667</v>
      </c>
      <c r="AX32" s="90">
        <f t="shared" si="1"/>
        <v>3.5</v>
      </c>
      <c r="AY32" s="90">
        <f t="shared" si="2"/>
        <v>9.3618638434328503</v>
      </c>
      <c r="AZ32" s="90">
        <f t="shared" si="3"/>
        <v>16.442855284238007</v>
      </c>
      <c r="BA32" s="90">
        <f t="shared" si="4"/>
        <v>58.887848784779806</v>
      </c>
    </row>
    <row r="33" spans="3:53" ht="15.75" customHeight="1" x14ac:dyDescent="0.25">
      <c r="Y33" s="97">
        <v>3.8969999999999998</v>
      </c>
      <c r="Z33" s="97">
        <v>9.3620000000000001</v>
      </c>
      <c r="AB33" s="99">
        <f t="shared" si="12"/>
        <v>2.2347674648931717</v>
      </c>
      <c r="AC33" s="86">
        <f t="shared" si="5"/>
        <v>0.85</v>
      </c>
      <c r="AD33" s="86">
        <f t="shared" si="6"/>
        <v>56.037464883694511</v>
      </c>
      <c r="AE33" s="86">
        <f t="shared" si="13"/>
        <v>31.754563434093555</v>
      </c>
      <c r="AF33" s="87"/>
      <c r="AG33" s="86">
        <f t="shared" si="14"/>
        <v>3.2109342934125671</v>
      </c>
      <c r="AH33" s="86">
        <f t="shared" si="7"/>
        <v>0.85</v>
      </c>
      <c r="AI33" s="86">
        <f t="shared" si="8"/>
        <v>57.896451032754172</v>
      </c>
      <c r="AJ33" s="86">
        <f t="shared" si="15"/>
        <v>32.807988918560696</v>
      </c>
      <c r="AK33" s="87"/>
      <c r="AL33" s="86">
        <f t="shared" si="16"/>
        <v>1.7000000000000004</v>
      </c>
      <c r="AM33" s="86">
        <f t="shared" si="9"/>
        <v>48.875</v>
      </c>
      <c r="AN33" s="86">
        <f t="shared" si="10"/>
        <v>27.695833333333329</v>
      </c>
      <c r="AO33" s="87"/>
      <c r="AV33" s="90">
        <f t="shared" si="11"/>
        <v>2</v>
      </c>
      <c r="AW33" s="90">
        <f t="shared" si="0"/>
        <v>2.6291381939919667</v>
      </c>
      <c r="AX33" s="90">
        <f t="shared" si="1"/>
        <v>3.5</v>
      </c>
      <c r="AY33" s="90">
        <f t="shared" si="2"/>
        <v>9.3618638434328503</v>
      </c>
      <c r="AZ33" s="90">
        <f t="shared" si="3"/>
        <v>16.442855284238007</v>
      </c>
      <c r="BA33" s="90">
        <f t="shared" si="4"/>
        <v>58.887848784779806</v>
      </c>
    </row>
    <row r="34" spans="3:53" ht="16.5" customHeight="1" x14ac:dyDescent="0.25">
      <c r="Y34" s="97">
        <v>3.8969999999999998</v>
      </c>
      <c r="Z34" s="97">
        <v>9.3620000000000001</v>
      </c>
      <c r="AB34" s="99">
        <f t="shared" si="12"/>
        <v>2.36622437459277</v>
      </c>
      <c r="AC34" s="86">
        <f t="shared" si="5"/>
        <v>0.9</v>
      </c>
      <c r="AD34" s="86">
        <f t="shared" si="6"/>
        <v>56.754056506248148</v>
      </c>
      <c r="AE34" s="86">
        <f t="shared" si="13"/>
        <v>32.160632020207281</v>
      </c>
      <c r="AF34" s="87"/>
      <c r="AG34" s="86">
        <f t="shared" si="14"/>
        <v>3.3998127812603651</v>
      </c>
      <c r="AH34" s="86">
        <f t="shared" si="7"/>
        <v>0.9</v>
      </c>
      <c r="AI34" s="86">
        <f t="shared" si="8"/>
        <v>58.453657728560472</v>
      </c>
      <c r="AJ34" s="86">
        <f t="shared" si="15"/>
        <v>33.123739379517602</v>
      </c>
      <c r="AK34" s="87"/>
      <c r="AL34" s="86">
        <f t="shared" si="16"/>
        <v>1.8000000000000005</v>
      </c>
      <c r="AM34" s="86">
        <f t="shared" si="9"/>
        <v>49.500000000000007</v>
      </c>
      <c r="AN34" s="86">
        <f t="shared" si="10"/>
        <v>28.05</v>
      </c>
      <c r="AO34" s="87"/>
      <c r="AV34" s="90">
        <f t="shared" si="11"/>
        <v>2</v>
      </c>
      <c r="AW34" s="90">
        <f t="shared" si="0"/>
        <v>2.6291381939919667</v>
      </c>
      <c r="AX34" s="90">
        <f t="shared" si="1"/>
        <v>3.5</v>
      </c>
      <c r="AY34" s="90">
        <f t="shared" si="2"/>
        <v>9.3618638434328503</v>
      </c>
      <c r="AZ34" s="90">
        <f t="shared" si="3"/>
        <v>16.442855284238007</v>
      </c>
      <c r="BA34" s="90">
        <f t="shared" si="4"/>
        <v>58.887848784779806</v>
      </c>
    </row>
    <row r="35" spans="3:53" x14ac:dyDescent="0.25">
      <c r="Y35" s="97">
        <v>3.8969999999999998</v>
      </c>
      <c r="Z35" s="97">
        <v>9.3620000000000001</v>
      </c>
      <c r="AB35" s="99">
        <f t="shared" si="12"/>
        <v>2.4976812842923684</v>
      </c>
      <c r="AC35" s="86">
        <f t="shared" si="5"/>
        <v>0.95</v>
      </c>
      <c r="AD35" s="86">
        <f t="shared" si="6"/>
        <v>57.184011479780331</v>
      </c>
      <c r="AE35" s="86">
        <f t="shared" si="13"/>
        <v>32.404273171875523</v>
      </c>
      <c r="AF35" s="87"/>
      <c r="AG35" s="86">
        <f t="shared" si="14"/>
        <v>3.5886912691081632</v>
      </c>
      <c r="AH35" s="86">
        <f t="shared" si="7"/>
        <v>0.95</v>
      </c>
      <c r="AI35" s="86">
        <f t="shared" si="8"/>
        <v>58.780862318274664</v>
      </c>
      <c r="AJ35" s="86">
        <f t="shared" si="15"/>
        <v>33.309155313688976</v>
      </c>
      <c r="AK35" s="87"/>
      <c r="AL35" s="86">
        <f t="shared" si="16"/>
        <v>1.9000000000000006</v>
      </c>
      <c r="AM35" s="86">
        <f t="shared" si="9"/>
        <v>49.875</v>
      </c>
      <c r="AN35" s="86">
        <f t="shared" si="10"/>
        <v>28.262499999999999</v>
      </c>
      <c r="AO35" s="87"/>
      <c r="AV35" s="90">
        <f t="shared" si="11"/>
        <v>2</v>
      </c>
      <c r="AW35" s="90">
        <f t="shared" si="0"/>
        <v>2.6291381939919667</v>
      </c>
      <c r="AX35" s="90">
        <f t="shared" si="1"/>
        <v>3.5</v>
      </c>
      <c r="AY35" s="90">
        <f t="shared" si="2"/>
        <v>9.3618638434328503</v>
      </c>
      <c r="AZ35" s="90">
        <f t="shared" si="3"/>
        <v>16.442855284238007</v>
      </c>
      <c r="BA35" s="90">
        <f t="shared" si="4"/>
        <v>58.887848784779806</v>
      </c>
    </row>
    <row r="36" spans="3:53" ht="15.75" thickBot="1" x14ac:dyDescent="0.3">
      <c r="Y36" s="97">
        <v>3.8969999999999998</v>
      </c>
      <c r="Z36" s="97">
        <v>9.3620000000000001</v>
      </c>
      <c r="AB36" s="100">
        <f t="shared" si="12"/>
        <v>2.6291381939919667</v>
      </c>
      <c r="AC36" s="86">
        <f t="shared" si="5"/>
        <v>1</v>
      </c>
      <c r="AD36" s="86">
        <f t="shared" si="6"/>
        <v>57.327329804291061</v>
      </c>
      <c r="AE36" s="86">
        <f t="shared" si="13"/>
        <v>32.485486889098269</v>
      </c>
      <c r="AF36" s="87"/>
      <c r="AG36" s="12">
        <f t="shared" si="14"/>
        <v>3.7775697569559612</v>
      </c>
      <c r="AH36" s="86">
        <f t="shared" si="7"/>
        <v>1</v>
      </c>
      <c r="AI36" s="86">
        <f t="shared" si="8"/>
        <v>58.887848784779806</v>
      </c>
      <c r="AJ36" s="86">
        <f t="shared" si="15"/>
        <v>33.369780978041888</v>
      </c>
      <c r="AK36" s="87"/>
      <c r="AL36" s="15">
        <f t="shared" si="16"/>
        <v>2.0000000000000004</v>
      </c>
      <c r="AM36" s="86">
        <f t="shared" si="9"/>
        <v>50</v>
      </c>
      <c r="AN36" s="86">
        <f t="shared" si="10"/>
        <v>28.333333333333332</v>
      </c>
      <c r="AO36" s="87"/>
      <c r="AV36" s="90">
        <f t="shared" si="11"/>
        <v>2</v>
      </c>
      <c r="AW36" s="90">
        <f t="shared" si="0"/>
        <v>2.6291381939919667</v>
      </c>
      <c r="AX36" s="90">
        <f t="shared" si="1"/>
        <v>3.5</v>
      </c>
      <c r="AY36" s="90">
        <f t="shared" si="2"/>
        <v>9.3618638434328503</v>
      </c>
      <c r="AZ36" s="90">
        <f t="shared" si="3"/>
        <v>16.442855284238007</v>
      </c>
      <c r="BA36" s="90">
        <f t="shared" si="4"/>
        <v>58.887848784779806</v>
      </c>
    </row>
    <row r="37" spans="3:53" ht="18" customHeight="1" x14ac:dyDescent="0.25">
      <c r="C37" s="123" t="s">
        <v>94</v>
      </c>
      <c r="D37" s="124"/>
      <c r="E37" s="124"/>
      <c r="F37" s="124"/>
      <c r="G37" s="124"/>
      <c r="H37" s="124"/>
      <c r="I37" s="124"/>
      <c r="J37" s="124"/>
      <c r="K37" s="124"/>
      <c r="L37" s="124"/>
      <c r="M37" s="125"/>
      <c r="Y37" s="97">
        <v>3.8969999999999998</v>
      </c>
      <c r="Z37" s="97">
        <v>9.3620000000000001</v>
      </c>
      <c r="AB37" s="96">
        <f>E31</f>
        <v>9.3618638434328503</v>
      </c>
      <c r="AC37" s="86">
        <v>0</v>
      </c>
      <c r="AD37" s="86">
        <f>0.85*$AD$36</f>
        <v>48.728230333647403</v>
      </c>
      <c r="AE37" s="86">
        <f t="shared" si="13"/>
        <v>27.61266385573353</v>
      </c>
      <c r="AF37" s="87"/>
      <c r="AG37" s="13">
        <f>J31</f>
        <v>16.442855284238007</v>
      </c>
      <c r="AH37" s="86">
        <v>0</v>
      </c>
      <c r="AI37" s="86">
        <f>0.85*AI36</f>
        <v>50.054671467062832</v>
      </c>
      <c r="AJ37" s="86">
        <f t="shared" si="15"/>
        <v>28.364313831335604</v>
      </c>
      <c r="AK37" s="87"/>
      <c r="AL37" s="16">
        <f>L5</f>
        <v>3.5</v>
      </c>
      <c r="AM37" s="86">
        <f>E5</f>
        <v>50</v>
      </c>
      <c r="AN37" s="86">
        <f t="shared" si="10"/>
        <v>28.333333333333332</v>
      </c>
      <c r="AO37" s="87"/>
      <c r="AV37" s="90">
        <f t="shared" si="11"/>
        <v>2</v>
      </c>
      <c r="AW37" s="90">
        <f t="shared" si="0"/>
        <v>2.6291381939919667</v>
      </c>
      <c r="AX37" s="90">
        <f t="shared" si="1"/>
        <v>3.5</v>
      </c>
      <c r="AY37" s="90">
        <f t="shared" si="2"/>
        <v>9.3618638434328503</v>
      </c>
      <c r="AZ37" s="90">
        <f t="shared" si="3"/>
        <v>16.442855284238007</v>
      </c>
      <c r="BA37" s="90">
        <f t="shared" si="4"/>
        <v>58.887848784779806</v>
      </c>
    </row>
    <row r="38" spans="3:53" ht="15.75" customHeight="1" thickBot="1" x14ac:dyDescent="0.3">
      <c r="C38" s="126"/>
      <c r="D38" s="127"/>
      <c r="E38" s="127"/>
      <c r="F38" s="127"/>
      <c r="G38" s="127"/>
      <c r="H38" s="127"/>
      <c r="I38" s="127"/>
      <c r="J38" s="127"/>
      <c r="K38" s="127"/>
      <c r="L38" s="127"/>
      <c r="M38" s="128"/>
      <c r="AF38" s="87"/>
      <c r="AK38" s="87"/>
      <c r="AO38" s="87"/>
    </row>
    <row r="39" spans="3:53" ht="15.75" x14ac:dyDescent="0.25">
      <c r="C39" s="119" t="s">
        <v>89</v>
      </c>
      <c r="D39" s="120"/>
      <c r="E39" s="77"/>
      <c r="F39" s="119" t="s">
        <v>93</v>
      </c>
      <c r="G39" s="120"/>
      <c r="H39" s="78"/>
      <c r="I39" s="119" t="s">
        <v>90</v>
      </c>
      <c r="J39" s="120"/>
      <c r="L39" s="148" t="s">
        <v>131</v>
      </c>
      <c r="M39" s="149"/>
      <c r="AF39" s="87"/>
      <c r="AK39" s="87"/>
      <c r="AO39" s="87"/>
    </row>
    <row r="40" spans="3:53" ht="15.75" x14ac:dyDescent="0.25">
      <c r="C40" s="121"/>
      <c r="D40" s="122"/>
      <c r="E40" s="77"/>
      <c r="F40" s="121"/>
      <c r="G40" s="122"/>
      <c r="H40" s="78"/>
      <c r="I40" s="121"/>
      <c r="J40" s="122"/>
      <c r="L40" s="150"/>
      <c r="M40" s="151"/>
      <c r="AF40" s="87"/>
      <c r="AK40" s="87"/>
      <c r="AO40" s="87"/>
    </row>
    <row r="41" spans="3:53" ht="18.75" thickBot="1" x14ac:dyDescent="0.3">
      <c r="C41" s="79" t="s">
        <v>34</v>
      </c>
      <c r="D41" s="80" t="s">
        <v>75</v>
      </c>
      <c r="F41" s="79" t="s">
        <v>34</v>
      </c>
      <c r="G41" s="80" t="s">
        <v>75</v>
      </c>
      <c r="I41" s="79" t="s">
        <v>34</v>
      </c>
      <c r="J41" s="80" t="s">
        <v>76</v>
      </c>
      <c r="L41" s="79" t="s">
        <v>34</v>
      </c>
      <c r="M41" s="80" t="s">
        <v>77</v>
      </c>
      <c r="AF41" s="87"/>
      <c r="AK41" s="87"/>
      <c r="AO41" s="87"/>
    </row>
    <row r="42" spans="3:53" ht="15.75" thickTop="1" x14ac:dyDescent="0.25">
      <c r="C42" s="81" t="s">
        <v>17</v>
      </c>
      <c r="D42" s="82" t="s">
        <v>79</v>
      </c>
      <c r="F42" s="81" t="s">
        <v>17</v>
      </c>
      <c r="G42" s="82" t="s">
        <v>79</v>
      </c>
      <c r="I42" s="81" t="s">
        <v>17</v>
      </c>
      <c r="J42" s="82" t="s">
        <v>79</v>
      </c>
      <c r="L42" s="81" t="s">
        <v>17</v>
      </c>
      <c r="M42" s="82" t="s">
        <v>15</v>
      </c>
      <c r="AF42" s="87"/>
      <c r="AK42" s="87"/>
      <c r="AO42" s="87"/>
    </row>
    <row r="43" spans="3:53" x14ac:dyDescent="0.25">
      <c r="C43" s="17">
        <f t="shared" ref="C43:C65" si="17">AB15/-1000</f>
        <v>1E-4</v>
      </c>
      <c r="D43" s="18">
        <f t="shared" ref="D43:D65" si="18">-1*AE15*1000</f>
        <v>100</v>
      </c>
      <c r="F43" s="17">
        <f t="shared" ref="F43:F65" si="19">AG15/-1000</f>
        <v>1E-4</v>
      </c>
      <c r="G43" s="18">
        <f t="shared" ref="G43:G65" si="20">-1*AJ15*1000</f>
        <v>100</v>
      </c>
      <c r="I43" s="17">
        <f t="shared" ref="I43:I65" si="21">AL15/-1000</f>
        <v>1E-4</v>
      </c>
      <c r="J43" s="18">
        <f t="shared" ref="J43:J65" si="22">-1*AN15*1000</f>
        <v>100</v>
      </c>
      <c r="L43" s="17">
        <f>AP24/1000</f>
        <v>-4.4999999999999998E-2</v>
      </c>
      <c r="M43" s="18">
        <f>AQ24*1000</f>
        <v>-434782.60869565216</v>
      </c>
      <c r="AF43" s="87"/>
      <c r="AK43" s="87"/>
      <c r="AO43" s="87"/>
    </row>
    <row r="44" spans="3:53" x14ac:dyDescent="0.25">
      <c r="C44" s="17">
        <f t="shared" si="17"/>
        <v>0</v>
      </c>
      <c r="D44" s="18">
        <f t="shared" si="18"/>
        <v>0</v>
      </c>
      <c r="F44" s="17">
        <f t="shared" si="19"/>
        <v>0</v>
      </c>
      <c r="G44" s="18">
        <f t="shared" si="20"/>
        <v>0</v>
      </c>
      <c r="I44" s="17">
        <f t="shared" si="21"/>
        <v>0</v>
      </c>
      <c r="J44" s="18">
        <f t="shared" si="22"/>
        <v>0</v>
      </c>
      <c r="L44" s="17">
        <f>AP25/1000</f>
        <v>-2.1739130434782609E-3</v>
      </c>
      <c r="M44" s="18">
        <f>AQ25*1000</f>
        <v>-434782.60869565216</v>
      </c>
      <c r="AF44" s="87"/>
      <c r="AK44" s="87"/>
      <c r="AO44" s="87"/>
    </row>
    <row r="45" spans="3:53" x14ac:dyDescent="0.25">
      <c r="C45" s="17">
        <f t="shared" si="17"/>
        <v>-1.3145690969959832E-4</v>
      </c>
      <c r="D45" s="18">
        <f t="shared" si="18"/>
        <v>-3167.3349716870825</v>
      </c>
      <c r="F45" s="17">
        <f t="shared" si="19"/>
        <v>-1.8887848784779806E-4</v>
      </c>
      <c r="G45" s="18">
        <f t="shared" si="20"/>
        <v>-3838.0615436228677</v>
      </c>
      <c r="I45" s="17">
        <f t="shared" si="21"/>
        <v>-1E-4</v>
      </c>
      <c r="J45" s="18">
        <f t="shared" si="22"/>
        <v>-2762.5000000000009</v>
      </c>
      <c r="L45" s="17">
        <f>AP26/1000</f>
        <v>0</v>
      </c>
      <c r="M45" s="18">
        <f>AQ26*1000</f>
        <v>0</v>
      </c>
      <c r="AF45" s="87"/>
      <c r="AK45" s="87"/>
      <c r="AO45" s="87"/>
    </row>
    <row r="46" spans="3:53" x14ac:dyDescent="0.25">
      <c r="C46" s="17">
        <f t="shared" si="17"/>
        <v>-2.6291381939919664E-4</v>
      </c>
      <c r="D46" s="18">
        <f t="shared" si="18"/>
        <v>-6172.2425089286698</v>
      </c>
      <c r="F46" s="17">
        <f t="shared" si="19"/>
        <v>-3.7775697569559613E-4</v>
      </c>
      <c r="G46" s="18">
        <f t="shared" si="20"/>
        <v>-7369.4825605977503</v>
      </c>
      <c r="I46" s="17">
        <f t="shared" si="21"/>
        <v>-2.0000000000000001E-4</v>
      </c>
      <c r="J46" s="18">
        <f t="shared" si="22"/>
        <v>-5383.3333333333321</v>
      </c>
      <c r="L46" s="17">
        <f>AP27/1000</f>
        <v>2.1739130434782609E-3</v>
      </c>
      <c r="M46" s="18">
        <f>AQ27*1000</f>
        <v>434782.60869565216</v>
      </c>
      <c r="AF46" s="87"/>
      <c r="AK46" s="87"/>
      <c r="AL46" s="87"/>
      <c r="AM46" s="87"/>
      <c r="AN46" s="87"/>
      <c r="AO46" s="87"/>
    </row>
    <row r="47" spans="3:53" ht="15.75" thickBot="1" x14ac:dyDescent="0.3">
      <c r="C47" s="17">
        <f t="shared" si="17"/>
        <v>-3.9437072909879502E-4</v>
      </c>
      <c r="D47" s="18">
        <f t="shared" si="18"/>
        <v>-9014.7226117247719</v>
      </c>
      <c r="F47" s="17">
        <f t="shared" si="19"/>
        <v>-5.6663546354339422E-4</v>
      </c>
      <c r="G47" s="18">
        <f t="shared" si="20"/>
        <v>-10611.450113433311</v>
      </c>
      <c r="I47" s="17">
        <f t="shared" si="21"/>
        <v>-3.0000000000000003E-4</v>
      </c>
      <c r="J47" s="18">
        <f t="shared" si="22"/>
        <v>-7862.5000000000018</v>
      </c>
      <c r="L47" s="19">
        <f>AP28/1000</f>
        <v>4.4999999999999998E-2</v>
      </c>
      <c r="M47" s="20">
        <f>AQ28*1000</f>
        <v>434782.60869565216</v>
      </c>
    </row>
    <row r="48" spans="3:53" ht="15.75" thickBot="1" x14ac:dyDescent="0.3">
      <c r="C48" s="17">
        <f t="shared" si="17"/>
        <v>-5.2582763879839328E-4</v>
      </c>
      <c r="D48" s="18">
        <f t="shared" si="18"/>
        <v>-11694.775280075371</v>
      </c>
      <c r="F48" s="17">
        <f t="shared" si="19"/>
        <v>-7.5551395139119226E-4</v>
      </c>
      <c r="G48" s="18">
        <f t="shared" si="20"/>
        <v>-13579.890385784709</v>
      </c>
      <c r="I48" s="17">
        <f t="shared" si="21"/>
        <v>-4.0000000000000002E-4</v>
      </c>
      <c r="J48" s="18">
        <f t="shared" si="22"/>
        <v>-10199.999999999996</v>
      </c>
    </row>
    <row r="49" spans="3:13" x14ac:dyDescent="0.25">
      <c r="C49" s="17">
        <f t="shared" si="17"/>
        <v>-6.5728454849799166E-4</v>
      </c>
      <c r="D49" s="18">
        <f t="shared" si="18"/>
        <v>-14212.40051398049</v>
      </c>
      <c r="F49" s="17">
        <f t="shared" si="19"/>
        <v>-9.4439243923899029E-4</v>
      </c>
      <c r="G49" s="18">
        <f t="shared" si="20"/>
        <v>-16289.582225894897</v>
      </c>
      <c r="I49" s="17">
        <f t="shared" si="21"/>
        <v>-5.0000000000000001E-4</v>
      </c>
      <c r="J49" s="18">
        <f t="shared" si="22"/>
        <v>-12395.833333333334</v>
      </c>
      <c r="L49" s="148" t="s">
        <v>132</v>
      </c>
      <c r="M49" s="149"/>
    </row>
    <row r="50" spans="3:13" x14ac:dyDescent="0.25">
      <c r="C50" s="17">
        <f t="shared" si="17"/>
        <v>-7.8874145819759003E-4</v>
      </c>
      <c r="D50" s="18">
        <f t="shared" si="18"/>
        <v>-16567.598313440114</v>
      </c>
      <c r="F50" s="17">
        <f t="shared" si="19"/>
        <v>-1.1332709270867884E-3</v>
      </c>
      <c r="G50" s="18">
        <f t="shared" si="20"/>
        <v>-18754.258637460469</v>
      </c>
      <c r="I50" s="17">
        <f t="shared" si="21"/>
        <v>-5.9999999999999995E-4</v>
      </c>
      <c r="J50" s="18">
        <f t="shared" si="22"/>
        <v>-14450.000000000002</v>
      </c>
      <c r="L50" s="150"/>
      <c r="M50" s="151"/>
    </row>
    <row r="51" spans="3:13" ht="18.75" thickBot="1" x14ac:dyDescent="0.3">
      <c r="C51" s="17">
        <f t="shared" si="17"/>
        <v>-9.201983678971883E-4</v>
      </c>
      <c r="D51" s="18">
        <f t="shared" si="18"/>
        <v>-18760.368678454244</v>
      </c>
      <c r="F51" s="17">
        <f t="shared" si="19"/>
        <v>-1.3221494149345866E-3</v>
      </c>
      <c r="G51" s="18">
        <f t="shared" si="20"/>
        <v>-20986.697684578132</v>
      </c>
      <c r="I51" s="17">
        <f t="shared" si="21"/>
        <v>-6.9999999999999999E-4</v>
      </c>
      <c r="J51" s="18">
        <f t="shared" si="22"/>
        <v>-16362.499999999996</v>
      </c>
      <c r="L51" s="79" t="s">
        <v>34</v>
      </c>
      <c r="M51" s="80" t="s">
        <v>77</v>
      </c>
    </row>
    <row r="52" spans="3:13" ht="15.75" thickTop="1" x14ac:dyDescent="0.25">
      <c r="C52" s="17">
        <f t="shared" si="17"/>
        <v>-1.0516552775967866E-3</v>
      </c>
      <c r="D52" s="18">
        <f t="shared" si="18"/>
        <v>-20790.711609022888</v>
      </c>
      <c r="F52" s="17">
        <f t="shared" si="19"/>
        <v>-1.5110279027823845E-3</v>
      </c>
      <c r="G52" s="18">
        <f t="shared" si="20"/>
        <v>-22998.804076941968</v>
      </c>
      <c r="I52" s="17">
        <f t="shared" si="21"/>
        <v>-7.9999999999999993E-4</v>
      </c>
      <c r="J52" s="18">
        <f t="shared" si="22"/>
        <v>-18133.333333333328</v>
      </c>
      <c r="L52" s="81" t="s">
        <v>17</v>
      </c>
      <c r="M52" s="82" t="s">
        <v>15</v>
      </c>
    </row>
    <row r="53" spans="3:13" x14ac:dyDescent="0.25">
      <c r="C53" s="17">
        <f t="shared" si="17"/>
        <v>-1.1831121872963851E-3</v>
      </c>
      <c r="D53" s="18">
        <f t="shared" si="18"/>
        <v>-22658.627105146043</v>
      </c>
      <c r="F53" s="17">
        <f t="shared" si="19"/>
        <v>-1.6999063906301827E-3</v>
      </c>
      <c r="G53" s="18">
        <f t="shared" si="20"/>
        <v>-24801.682531289101</v>
      </c>
      <c r="I53" s="17">
        <f t="shared" si="21"/>
        <v>-8.9999999999999987E-4</v>
      </c>
      <c r="J53" s="18">
        <f t="shared" si="22"/>
        <v>-19762.5</v>
      </c>
      <c r="L53" s="17">
        <f>AS24/1000</f>
        <v>-4.4999999999999998E-2</v>
      </c>
      <c r="M53" s="18">
        <f>AT24*1000</f>
        <v>-469565.21739130438</v>
      </c>
    </row>
    <row r="54" spans="3:13" x14ac:dyDescent="0.25">
      <c r="C54" s="17">
        <f t="shared" si="17"/>
        <v>-1.3145690969959833E-3</v>
      </c>
      <c r="D54" s="18">
        <f t="shared" si="18"/>
        <v>-24364.115166823696</v>
      </c>
      <c r="F54" s="17">
        <f t="shared" si="19"/>
        <v>-1.8887848784779806E-3</v>
      </c>
      <c r="G54" s="18">
        <f t="shared" si="20"/>
        <v>-26405.703860223868</v>
      </c>
      <c r="I54" s="17">
        <f t="shared" si="21"/>
        <v>-9.999999999999998E-4</v>
      </c>
      <c r="J54" s="18">
        <f t="shared" si="22"/>
        <v>-21250</v>
      </c>
      <c r="L54" s="17">
        <f t="shared" ref="L54:L57" si="23">AS25/1000</f>
        <v>-2.1739130434782613E-3</v>
      </c>
      <c r="M54" s="18">
        <f t="shared" ref="M54:M57" si="24">AT25*1000</f>
        <v>-434782.60869565216</v>
      </c>
    </row>
    <row r="55" spans="3:13" x14ac:dyDescent="0.25">
      <c r="C55" s="17">
        <f t="shared" si="17"/>
        <v>-1.4460260066955816E-3</v>
      </c>
      <c r="D55" s="18">
        <f t="shared" si="18"/>
        <v>-25907.175794055871</v>
      </c>
      <c r="F55" s="17">
        <f t="shared" si="19"/>
        <v>-2.0776633663257787E-3</v>
      </c>
      <c r="G55" s="18">
        <f t="shared" si="20"/>
        <v>-27820.564615874577</v>
      </c>
      <c r="I55" s="17">
        <f t="shared" si="21"/>
        <v>-1.0999999999999998E-3</v>
      </c>
      <c r="J55" s="18">
        <f t="shared" si="22"/>
        <v>-22595.833333333328</v>
      </c>
      <c r="L55" s="17">
        <f t="shared" si="23"/>
        <v>0</v>
      </c>
      <c r="M55" s="18">
        <f t="shared" si="24"/>
        <v>0</v>
      </c>
    </row>
    <row r="56" spans="3:13" x14ac:dyDescent="0.25">
      <c r="C56" s="17">
        <f t="shared" si="17"/>
        <v>-1.5774829163951801E-3</v>
      </c>
      <c r="D56" s="18">
        <f t="shared" si="18"/>
        <v>-27287.808986842545</v>
      </c>
      <c r="F56" s="17">
        <f t="shared" si="19"/>
        <v>-2.2665418541735769E-3</v>
      </c>
      <c r="G56" s="18">
        <f t="shared" si="20"/>
        <v>-29055.341009963737</v>
      </c>
      <c r="I56" s="17">
        <f t="shared" si="21"/>
        <v>-1.1999999999999999E-3</v>
      </c>
      <c r="J56" s="18">
        <f t="shared" si="22"/>
        <v>-23799.999999999996</v>
      </c>
      <c r="L56" s="17">
        <f t="shared" si="23"/>
        <v>2.1739130434782613E-3</v>
      </c>
      <c r="M56" s="18">
        <f t="shared" si="24"/>
        <v>434782.60869565216</v>
      </c>
    </row>
    <row r="57" spans="3:13" ht="15.75" thickBot="1" x14ac:dyDescent="0.3">
      <c r="C57" s="17">
        <f t="shared" si="17"/>
        <v>-1.7089398260947783E-3</v>
      </c>
      <c r="D57" s="18">
        <f t="shared" si="18"/>
        <v>-28506.014745183729</v>
      </c>
      <c r="F57" s="17">
        <f t="shared" si="19"/>
        <v>-2.455420342021375E-3</v>
      </c>
      <c r="G57" s="18">
        <f t="shared" si="20"/>
        <v>-30118.537740999171</v>
      </c>
      <c r="I57" s="17">
        <f t="shared" si="21"/>
        <v>-1.2999999999999999E-3</v>
      </c>
      <c r="J57" s="18">
        <f t="shared" si="22"/>
        <v>-24862.499999999996</v>
      </c>
      <c r="L57" s="19">
        <f t="shared" si="23"/>
        <v>4.4999999999999998E-2</v>
      </c>
      <c r="M57" s="20">
        <f t="shared" si="24"/>
        <v>469565.21739130438</v>
      </c>
    </row>
    <row r="58" spans="3:13" x14ac:dyDescent="0.25">
      <c r="C58" s="17">
        <f t="shared" si="17"/>
        <v>-1.8403967357943766E-3</v>
      </c>
      <c r="D58" s="18">
        <f t="shared" si="18"/>
        <v>-29561.793069079416</v>
      </c>
      <c r="F58" s="17">
        <f t="shared" si="19"/>
        <v>-2.6442988298691732E-3</v>
      </c>
      <c r="G58" s="18">
        <f t="shared" si="20"/>
        <v>-31018.132281095372</v>
      </c>
      <c r="I58" s="17">
        <f t="shared" si="21"/>
        <v>-1.4000000000000002E-3</v>
      </c>
      <c r="J58" s="18">
        <f t="shared" si="22"/>
        <v>-25783.333333333332</v>
      </c>
    </row>
    <row r="59" spans="3:13" x14ac:dyDescent="0.25">
      <c r="C59" s="17">
        <f t="shared" si="17"/>
        <v>-1.9718536454939751E-3</v>
      </c>
      <c r="D59" s="18">
        <f t="shared" si="18"/>
        <v>-30455.143958529628</v>
      </c>
      <c r="F59" s="17">
        <f t="shared" si="19"/>
        <v>-2.8331773177169709E-3</v>
      </c>
      <c r="G59" s="18">
        <f t="shared" si="20"/>
        <v>-31761.615107477272</v>
      </c>
      <c r="I59" s="17">
        <f t="shared" si="21"/>
        <v>-1.5000000000000002E-3</v>
      </c>
      <c r="J59" s="18">
        <f t="shared" si="22"/>
        <v>-26562.5</v>
      </c>
    </row>
    <row r="60" spans="3:13" x14ac:dyDescent="0.25">
      <c r="C60" s="17">
        <f t="shared" si="17"/>
        <v>-2.1033105551935731E-3</v>
      </c>
      <c r="D60" s="18">
        <f t="shared" si="18"/>
        <v>-31186.067413534336</v>
      </c>
      <c r="F60" s="17">
        <f t="shared" si="19"/>
        <v>-3.022055805564769E-3</v>
      </c>
      <c r="G60" s="18">
        <f t="shared" si="20"/>
        <v>-32356.026305387295</v>
      </c>
      <c r="I60" s="17">
        <f t="shared" si="21"/>
        <v>-1.6000000000000003E-3</v>
      </c>
      <c r="J60" s="18">
        <f t="shared" si="22"/>
        <v>-27200.000000000004</v>
      </c>
    </row>
    <row r="61" spans="3:13" x14ac:dyDescent="0.25">
      <c r="C61" s="17">
        <f t="shared" si="17"/>
        <v>-2.2347674648931716E-3</v>
      </c>
      <c r="D61" s="18">
        <f t="shared" si="18"/>
        <v>-31754.563434093554</v>
      </c>
      <c r="F61" s="17">
        <f t="shared" si="19"/>
        <v>-3.2109342934125672E-3</v>
      </c>
      <c r="G61" s="18">
        <f t="shared" si="20"/>
        <v>-32807.988918560695</v>
      </c>
      <c r="I61" s="17">
        <f t="shared" si="21"/>
        <v>-1.7000000000000003E-3</v>
      </c>
      <c r="J61" s="18">
        <f t="shared" si="22"/>
        <v>-27695.833333333328</v>
      </c>
    </row>
    <row r="62" spans="3:13" x14ac:dyDescent="0.25">
      <c r="C62" s="17">
        <f t="shared" si="17"/>
        <v>-2.3662243745927701E-3</v>
      </c>
      <c r="D62" s="18">
        <f t="shared" si="18"/>
        <v>-32160.632020207282</v>
      </c>
      <c r="F62" s="17">
        <f t="shared" si="19"/>
        <v>-3.3998127812603653E-3</v>
      </c>
      <c r="G62" s="18">
        <f t="shared" si="20"/>
        <v>-33123.739379517603</v>
      </c>
      <c r="I62" s="17">
        <f t="shared" si="21"/>
        <v>-1.8000000000000004E-3</v>
      </c>
      <c r="J62" s="18">
        <f t="shared" si="22"/>
        <v>-28050</v>
      </c>
    </row>
    <row r="63" spans="3:13" x14ac:dyDescent="0.25">
      <c r="C63" s="17">
        <f t="shared" si="17"/>
        <v>-2.4976812842923682E-3</v>
      </c>
      <c r="D63" s="18">
        <f t="shared" si="18"/>
        <v>-32404.273171875524</v>
      </c>
      <c r="F63" s="17">
        <f t="shared" si="19"/>
        <v>-3.588691269108163E-3</v>
      </c>
      <c r="G63" s="18">
        <f t="shared" si="20"/>
        <v>-33309.155313688978</v>
      </c>
      <c r="I63" s="17">
        <f t="shared" si="21"/>
        <v>-1.9000000000000006E-3</v>
      </c>
      <c r="J63" s="18">
        <f t="shared" si="22"/>
        <v>-28262.5</v>
      </c>
    </row>
    <row r="64" spans="3:13" x14ac:dyDescent="0.25">
      <c r="C64" s="17">
        <f t="shared" si="17"/>
        <v>-2.6291381939919666E-3</v>
      </c>
      <c r="D64" s="18">
        <f t="shared" si="18"/>
        <v>-32485.486889098269</v>
      </c>
      <c r="F64" s="17">
        <f t="shared" si="19"/>
        <v>-3.7775697569559612E-3</v>
      </c>
      <c r="G64" s="18">
        <f t="shared" si="20"/>
        <v>-33369.78097804189</v>
      </c>
      <c r="I64" s="17">
        <f t="shared" si="21"/>
        <v>-2.0000000000000005E-3</v>
      </c>
      <c r="J64" s="18">
        <f t="shared" si="22"/>
        <v>-28333.333333333332</v>
      </c>
    </row>
    <row r="65" spans="3:10" ht="15.75" thickBot="1" x14ac:dyDescent="0.3">
      <c r="C65" s="19">
        <f t="shared" si="17"/>
        <v>-9.3618638434328511E-3</v>
      </c>
      <c r="D65" s="20">
        <f t="shared" si="18"/>
        <v>-27612.663855733528</v>
      </c>
      <c r="F65" s="19">
        <f t="shared" si="19"/>
        <v>-1.6442855284238007E-2</v>
      </c>
      <c r="G65" s="20">
        <f t="shared" si="20"/>
        <v>-28364.313831335603</v>
      </c>
      <c r="I65" s="19">
        <f t="shared" si="21"/>
        <v>-3.5000000000000001E-3</v>
      </c>
      <c r="J65" s="20">
        <f t="shared" si="22"/>
        <v>-28333.333333333332</v>
      </c>
    </row>
  </sheetData>
  <sheetProtection selectLockedCells="1" selectUnlockedCells="1"/>
  <dataConsolidate/>
  <mergeCells count="32">
    <mergeCell ref="C39:D40"/>
    <mergeCell ref="F39:G40"/>
    <mergeCell ref="I39:J40"/>
    <mergeCell ref="L39:M40"/>
    <mergeCell ref="L49:M50"/>
    <mergeCell ref="C37:M38"/>
    <mergeCell ref="J16:J17"/>
    <mergeCell ref="AP21:AQ21"/>
    <mergeCell ref="AS21:AT21"/>
    <mergeCell ref="C23:E23"/>
    <mergeCell ref="F23:H23"/>
    <mergeCell ref="I23:K23"/>
    <mergeCell ref="D24:E26"/>
    <mergeCell ref="G24:H26"/>
    <mergeCell ref="J24:K26"/>
    <mergeCell ref="C28:F28"/>
    <mergeCell ref="H28:K28"/>
    <mergeCell ref="C8:C9"/>
    <mergeCell ref="AP10:AQ10"/>
    <mergeCell ref="AS10:AT10"/>
    <mergeCell ref="C12:H12"/>
    <mergeCell ref="AB12:AE12"/>
    <mergeCell ref="AG12:AJ12"/>
    <mergeCell ref="AL12:AN12"/>
    <mergeCell ref="AP12:AQ12"/>
    <mergeCell ref="AS12:AT12"/>
    <mergeCell ref="C1:D1"/>
    <mergeCell ref="C2:Q2"/>
    <mergeCell ref="C3:C4"/>
    <mergeCell ref="D3:D4"/>
    <mergeCell ref="C7:J7"/>
    <mergeCell ref="L7:N7"/>
  </mergeCells>
  <conditionalFormatting sqref="D24:E26">
    <cfRule type="containsText" dxfId="11" priority="3" operator="containsText" text="Pass">
      <formula>NOT(ISERROR(SEARCH("Pass",D24)))</formula>
    </cfRule>
  </conditionalFormatting>
  <conditionalFormatting sqref="G24:H26">
    <cfRule type="containsText" dxfId="10" priority="2" operator="containsText" text="Pass">
      <formula>NOT(ISERROR(SEARCH("Pass",G24)))</formula>
    </cfRule>
  </conditionalFormatting>
  <conditionalFormatting sqref="J24:K26">
    <cfRule type="containsText" dxfId="9"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98B24866-213D-439C-8936-85D982E8B0DE}">
          <x14:formula1>
            <xm:f>Data!$C$18:$C$20</xm:f>
          </x14:formula1>
          <xm:sqref>C10</xm:sqref>
        </x14:dataValidation>
        <x14:dataValidation type="list" allowBlank="1" showInputMessage="1" showErrorMessage="1" xr:uid="{1FECF674-81B3-4FF3-A7D2-E34DEACD0442}">
          <x14:formula1>
            <xm:f>Data!$C$5:$C$13</xm:f>
          </x14:formula1>
          <xm:sqref>C5</xm:sqref>
        </x14:dataValidation>
        <x14:dataValidation type="list" allowBlank="1" showInputMessage="1" showErrorMessage="1" xr:uid="{5C578903-0872-4237-AA71-1862C3E60596}">
          <x14:formula1>
            <xm:f>Data!$C$23:$C$33</xm:f>
          </x14:formula1>
          <xm:sqref>C18 C21</xm:sqref>
        </x14:dataValidation>
        <x14:dataValidation type="list" allowBlank="1" showInputMessage="1" showErrorMessage="1" xr:uid="{95A99DF7-9D2B-4B06-A470-4EB5F568FFC3}">
          <x14:formula1>
            <xm:f>Data!$D$23:$D$29</xm:f>
          </x14:formula1>
          <xm:sqref>D18:E18</xm:sqref>
        </x14:dataValidation>
        <x14:dataValidation type="list" allowBlank="1" showInputMessage="1" showErrorMessage="1" xr:uid="{0220BA62-E2D7-46BA-94C1-925A643E92C6}">
          <x14:formula1>
            <xm:f>Data!$E$23:$E$29</xm:f>
          </x14:formula1>
          <xm:sqref>D21</xm:sqref>
        </x14:dataValidation>
        <x14:dataValidation type="list" showInputMessage="1" showErrorMessage="1" xr:uid="{96FC0AB2-7D86-4227-AAF7-CC734D74D2C1}">
          <x14:formula1>
            <xm:f>Data!$F$23:$F$24</xm:f>
          </x14:formula1>
          <xm:sqref>J18</xm:sqref>
        </x14:dataValidation>
        <x14:dataValidation type="list" allowBlank="1" showInputMessage="1" showErrorMessage="1" xr:uid="{7459CBCD-1661-466C-8717-CDF51F4ECABA}">
          <x14:formula1>
            <xm:f>Data!$G$23:$G$24</xm:f>
          </x14:formula1>
          <xm:sqref>H15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DC16-2AB1-4795-86B8-A65D003F4979}">
  <dimension ref="A1"/>
  <sheetViews>
    <sheetView topLeftCell="E1" zoomScale="120" zoomScaleNormal="120" workbookViewId="0">
      <selection activeCell="O28" sqref="O28"/>
    </sheetView>
  </sheetViews>
  <sheetFormatPr defaultRowHeight="15" x14ac:dyDescent="0.2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B8E4-E531-4155-AEA7-1ACD21F12859}">
  <dimension ref="C1:BA65"/>
  <sheetViews>
    <sheetView tabSelected="1" zoomScaleNormal="100" workbookViewId="0">
      <selection activeCell="N27" sqref="N27"/>
    </sheetView>
  </sheetViews>
  <sheetFormatPr defaultRowHeight="15" x14ac:dyDescent="0.25"/>
  <cols>
    <col min="1" max="2" width="9.7109375" style="95" customWidth="1"/>
    <col min="3" max="17" width="12.7109375" style="95" customWidth="1"/>
    <col min="18" max="46" width="10.7109375" style="95" customWidth="1"/>
    <col min="47" max="16384" width="9.140625" style="95"/>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VLOOKUP('WR03-01 CW'!C5,Data!C5:P13,11,FALSE)</f>
        <v>2</v>
      </c>
      <c r="N5" s="8">
        <f>VLOOKUP(C5,Data!C5:P13,12,FALSE)</f>
        <v>1.75</v>
      </c>
      <c r="O5" s="8">
        <f>VLOOKUP(C5,Data!C5:P13,13,FALSE)</f>
        <v>3.5</v>
      </c>
      <c r="P5" s="8">
        <f>VLOOKUP(C5,Data!C5:P13,14,FALSE)</f>
        <v>2.4324324324324325</v>
      </c>
      <c r="Q5" s="41">
        <f>1.05*H5*I31/H31</f>
        <v>2.3341205504359084</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91" t="s">
        <v>44</v>
      </c>
      <c r="E8" s="91" t="s">
        <v>45</v>
      </c>
      <c r="F8" s="91"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93"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92"/>
      <c r="AG14" s="38" t="s">
        <v>17</v>
      </c>
      <c r="AH14" s="48" t="s">
        <v>14</v>
      </c>
      <c r="AI14" s="48" t="s">
        <v>15</v>
      </c>
      <c r="AJ14" s="48" t="s">
        <v>15</v>
      </c>
      <c r="AK14" s="92"/>
      <c r="AL14" s="38" t="s">
        <v>17</v>
      </c>
      <c r="AM14" s="48" t="s">
        <v>15</v>
      </c>
      <c r="AN14" s="48" t="s">
        <v>15</v>
      </c>
      <c r="AO14" s="92"/>
      <c r="AP14" s="38" t="s">
        <v>17</v>
      </c>
      <c r="AQ14" s="48" t="s">
        <v>15</v>
      </c>
      <c r="AR14" s="92"/>
      <c r="AS14" s="38" t="s">
        <v>17</v>
      </c>
      <c r="AT14" s="48" t="s">
        <v>15</v>
      </c>
    </row>
    <row r="15" spans="3:53" ht="16.5" thickTop="1" thickBot="1" x14ac:dyDescent="0.3">
      <c r="C15" s="61">
        <v>3100</v>
      </c>
      <c r="D15" s="62">
        <v>600</v>
      </c>
      <c r="E15" s="62">
        <v>35</v>
      </c>
      <c r="F15" s="22">
        <f>C15-2*E15-C21</f>
        <v>3022</v>
      </c>
      <c r="G15" s="22">
        <f>D15-2*E15-C21</f>
        <v>522</v>
      </c>
      <c r="H15" s="63" t="s">
        <v>108</v>
      </c>
      <c r="AB15" s="7">
        <v>-0.1</v>
      </c>
      <c r="AC15" s="7">
        <v>0</v>
      </c>
      <c r="AD15" s="7">
        <v>-0.1</v>
      </c>
      <c r="AE15" s="7">
        <f>-0.1</f>
        <v>-0.1</v>
      </c>
      <c r="AF15" s="92"/>
      <c r="AG15" s="7">
        <v>-0.1</v>
      </c>
      <c r="AH15" s="7">
        <v>0</v>
      </c>
      <c r="AI15" s="7">
        <v>-0.1</v>
      </c>
      <c r="AJ15" s="7">
        <f>-0.1</f>
        <v>-0.1</v>
      </c>
      <c r="AK15" s="92"/>
      <c r="AL15" s="7">
        <v>-0.1</v>
      </c>
      <c r="AM15" s="7">
        <v>-0.1</v>
      </c>
      <c r="AN15" s="7">
        <f>-0.1</f>
        <v>-0.1</v>
      </c>
      <c r="AO15" s="92"/>
      <c r="AP15" s="7">
        <f>-1*J10</f>
        <v>-45</v>
      </c>
      <c r="AQ15" s="7">
        <f>-D10</f>
        <v>-500</v>
      </c>
      <c r="AR15" s="92"/>
      <c r="AS15" s="7">
        <f>-1*J10</f>
        <v>-45</v>
      </c>
      <c r="AT15" s="7">
        <f>-1*E10</f>
        <v>-540</v>
      </c>
      <c r="AV15" s="95">
        <f>$K$5</f>
        <v>2</v>
      </c>
      <c r="AW15" s="95">
        <f t="shared" ref="AW15:AW37" si="0">$AB$36</f>
        <v>2.5676747325896061</v>
      </c>
      <c r="AX15" s="95">
        <f t="shared" ref="AX15:AX37" si="1">$AL$37</f>
        <v>3.5</v>
      </c>
      <c r="AY15" s="95">
        <f t="shared" ref="AY15:AY37" si="2">$AB$37</f>
        <v>8.8226189233553072</v>
      </c>
      <c r="AZ15" s="95">
        <f t="shared" ref="AZ15:AZ37" si="3">$AG$37</f>
        <v>15.435669792587525</v>
      </c>
      <c r="BA15" s="95">
        <f t="shared" ref="BA15:BA37" si="4">$AI$36</f>
        <v>58.180008472321511</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AB16" s="91">
        <v>0</v>
      </c>
      <c r="AC16" s="91">
        <f t="shared" ref="AC16:AC36" si="5">AB16/$D$31</f>
        <v>0</v>
      </c>
      <c r="AD16" s="91">
        <f t="shared" ref="AD16:AD36" si="6">IF(AB16&lt;=$AB$36,$C$31*(1-(1-AB16/$AB$36)^$M$5),$C$31)</f>
        <v>0</v>
      </c>
      <c r="AE16" s="91">
        <f>AD16*$N$10/$L$10</f>
        <v>0</v>
      </c>
      <c r="AF16" s="92"/>
      <c r="AG16" s="91">
        <v>0</v>
      </c>
      <c r="AH16" s="91">
        <f t="shared" ref="AH16:AH36" si="7">AG16/$I$31</f>
        <v>0</v>
      </c>
      <c r="AI16" s="91">
        <f t="shared" ref="AI16:AI36" si="8">IF(AG16&lt;=$AG$36,$H$31*AH16*($Q$5-AH16)/(1+($Q$5-2)*AH16))</f>
        <v>0</v>
      </c>
      <c r="AJ16" s="91">
        <f>AI16*$N$10/$L$10</f>
        <v>0</v>
      </c>
      <c r="AK16" s="92"/>
      <c r="AL16" s="91">
        <v>0</v>
      </c>
      <c r="AM16" s="91">
        <f t="shared" ref="AM16:AM36" si="9">$E$5*(1-(1-AL16/$K$5)^$M$5)</f>
        <v>0</v>
      </c>
      <c r="AN16" s="91">
        <f t="shared" ref="AN16:AN37" si="10">AM16*$N$10/$L$10</f>
        <v>0</v>
      </c>
      <c r="AO16" s="92"/>
      <c r="AP16" s="91">
        <f>-1*D10/G10</f>
        <v>-2.5</v>
      </c>
      <c r="AQ16" s="91">
        <f>AQ15</f>
        <v>-500</v>
      </c>
      <c r="AR16" s="92"/>
      <c r="AS16" s="91">
        <f>-1*H10</f>
        <v>-2.5</v>
      </c>
      <c r="AT16" s="91">
        <f>-1*D10</f>
        <v>-500</v>
      </c>
      <c r="AV16" s="95">
        <f t="shared" ref="AV16:AV37" si="11">$K$5</f>
        <v>2</v>
      </c>
      <c r="AW16" s="95">
        <f t="shared" si="0"/>
        <v>2.5676747325896061</v>
      </c>
      <c r="AX16" s="95">
        <f t="shared" si="1"/>
        <v>3.5</v>
      </c>
      <c r="AY16" s="95">
        <f t="shared" si="2"/>
        <v>8.8226189233553072</v>
      </c>
      <c r="AZ16" s="95">
        <f t="shared" si="3"/>
        <v>15.435669792587525</v>
      </c>
      <c r="BA16" s="95">
        <f t="shared" si="4"/>
        <v>58.180008472321511</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AB17" s="91">
        <f t="shared" ref="AB17:AB36" si="12">AB16+$D$31/20</f>
        <v>0.1283837366294803</v>
      </c>
      <c r="AC17" s="91">
        <f t="shared" si="5"/>
        <v>4.9999999999999996E-2</v>
      </c>
      <c r="AD17" s="91">
        <f t="shared" si="6"/>
        <v>5.52369418128393</v>
      </c>
      <c r="AE17" s="91">
        <f t="shared" ref="AE17:AE37" si="13">AD17*$N$10/$L$10</f>
        <v>3.1300933693942272</v>
      </c>
      <c r="AF17" s="92"/>
      <c r="AG17" s="91">
        <f t="shared" ref="AG17:AG36" si="14">AG16+$I$31/20</f>
        <v>0.1818000847232151</v>
      </c>
      <c r="AH17" s="91">
        <f t="shared" si="7"/>
        <v>0.05</v>
      </c>
      <c r="AI17" s="91">
        <f t="shared" si="8"/>
        <v>6.5353282747857051</v>
      </c>
      <c r="AJ17" s="91">
        <f t="shared" ref="AJ17:AJ37" si="15">AI17*$N$10/$L$10</f>
        <v>3.7033526890452326</v>
      </c>
      <c r="AK17" s="92"/>
      <c r="AL17" s="91">
        <f t="shared" ref="AL17:AL36" si="16">AL16+$K$5/20</f>
        <v>0.1</v>
      </c>
      <c r="AM17" s="91">
        <f t="shared" si="9"/>
        <v>4.8750000000000018</v>
      </c>
      <c r="AN17" s="91">
        <f t="shared" si="10"/>
        <v>2.7625000000000011</v>
      </c>
      <c r="AO17" s="92"/>
      <c r="AP17" s="91">
        <f>0</f>
        <v>0</v>
      </c>
      <c r="AQ17" s="91">
        <f>0</f>
        <v>0</v>
      </c>
      <c r="AR17" s="92"/>
      <c r="AS17" s="91">
        <f>0</f>
        <v>0</v>
      </c>
      <c r="AT17" s="91">
        <f>0</f>
        <v>0</v>
      </c>
      <c r="AV17" s="95">
        <f t="shared" si="11"/>
        <v>2</v>
      </c>
      <c r="AW17" s="95">
        <f t="shared" si="0"/>
        <v>2.5676747325896061</v>
      </c>
      <c r="AX17" s="95">
        <f t="shared" si="1"/>
        <v>3.5</v>
      </c>
      <c r="AY17" s="95">
        <f t="shared" si="2"/>
        <v>8.8226189233553072</v>
      </c>
      <c r="AZ17" s="95">
        <f t="shared" si="3"/>
        <v>15.435669792587525</v>
      </c>
      <c r="BA17" s="95">
        <f t="shared" si="4"/>
        <v>58.180008472321511</v>
      </c>
    </row>
    <row r="18" spans="3:53" ht="16.5" thickTop="1" thickBot="1" x14ac:dyDescent="0.3">
      <c r="C18" s="61">
        <v>16</v>
      </c>
      <c r="D18" s="62">
        <v>200</v>
      </c>
      <c r="E18" s="62">
        <v>200</v>
      </c>
      <c r="F18" s="21">
        <f>IF(ROUND(F15/D18,0)*D18&lt;F15-C18-C21,ROUND(F15/D18,0)+1,ROUND(F15/D18,0))</f>
        <v>15</v>
      </c>
      <c r="G18" s="21">
        <f>IF(ROUND(G15/E18,0)*E18&lt;G15-C18-C21,ROUND(G15/E18,0)+1,ROUND(G15/E18,0))</f>
        <v>3</v>
      </c>
      <c r="H18" s="22">
        <f>(F15-C21-C18)/F18</f>
        <v>199.86666666666667</v>
      </c>
      <c r="I18" s="22">
        <f>(G15-C21-C18)/G18</f>
        <v>166</v>
      </c>
      <c r="J18" s="67" t="s">
        <v>98</v>
      </c>
      <c r="K18" s="22">
        <f>IF(J18="Min",IF(D18=200,H18,IF(2*H18&lt;=200,2*H18,H18)),IF(J18="Max",H18))</f>
        <v>199.86666666666667</v>
      </c>
      <c r="L18" s="22">
        <f>IF(J18="Min",IF(E18=200,I18,IF(2*I18&lt;=200,2*I18,I18)),IF(J18="Max",I18))</f>
        <v>166</v>
      </c>
      <c r="M18" s="21">
        <f>IF(K18=H18,F18,F18/2)</f>
        <v>15</v>
      </c>
      <c r="N18" s="83">
        <f>IF(L18=I18,G18,G18/2)</f>
        <v>3</v>
      </c>
      <c r="O18" s="27"/>
      <c r="P18" s="27"/>
      <c r="Q18" s="27"/>
      <c r="R18" s="27"/>
      <c r="S18" s="27"/>
      <c r="T18" s="27"/>
      <c r="U18" s="27"/>
      <c r="V18" s="27"/>
      <c r="AB18" s="91">
        <f t="shared" si="12"/>
        <v>0.2567674732589606</v>
      </c>
      <c r="AC18" s="91">
        <f t="shared" si="5"/>
        <v>9.9999999999999992E-2</v>
      </c>
      <c r="AD18" s="91">
        <f t="shared" si="6"/>
        <v>10.764121994296882</v>
      </c>
      <c r="AE18" s="91">
        <f t="shared" si="13"/>
        <v>6.0996691301015664</v>
      </c>
      <c r="AF18" s="92"/>
      <c r="AG18" s="91">
        <f t="shared" si="14"/>
        <v>0.3636001694464302</v>
      </c>
      <c r="AH18" s="91">
        <f t="shared" si="7"/>
        <v>0.1</v>
      </c>
      <c r="AI18" s="91">
        <f t="shared" si="8"/>
        <v>12.577863004226902</v>
      </c>
      <c r="AJ18" s="91">
        <f t="shared" si="15"/>
        <v>7.1274557023952445</v>
      </c>
      <c r="AK18" s="92"/>
      <c r="AL18" s="91">
        <f t="shared" si="16"/>
        <v>0.2</v>
      </c>
      <c r="AM18" s="91">
        <f t="shared" si="9"/>
        <v>9.4999999999999964</v>
      </c>
      <c r="AN18" s="91">
        <f t="shared" si="10"/>
        <v>5.383333333333332</v>
      </c>
      <c r="AO18" s="92"/>
      <c r="AP18" s="91">
        <f>-1*AP16</f>
        <v>2.5</v>
      </c>
      <c r="AQ18" s="91">
        <f>-1*AQ16</f>
        <v>500</v>
      </c>
      <c r="AR18" s="92"/>
      <c r="AS18" s="91">
        <f>H10</f>
        <v>2.5</v>
      </c>
      <c r="AT18" s="91">
        <f>D10</f>
        <v>500</v>
      </c>
      <c r="AV18" s="95">
        <f t="shared" si="11"/>
        <v>2</v>
      </c>
      <c r="AW18" s="95">
        <f t="shared" si="0"/>
        <v>2.5676747325896061</v>
      </c>
      <c r="AX18" s="95">
        <f t="shared" si="1"/>
        <v>3.5</v>
      </c>
      <c r="AY18" s="95">
        <f t="shared" si="2"/>
        <v>8.8226189233553072</v>
      </c>
      <c r="AZ18" s="95">
        <f t="shared" si="3"/>
        <v>15.435669792587525</v>
      </c>
      <c r="BA18" s="95">
        <f t="shared" si="4"/>
        <v>58.180008472321511</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AB19" s="91">
        <f t="shared" si="12"/>
        <v>0.38515120988844087</v>
      </c>
      <c r="AC19" s="91">
        <f t="shared" si="5"/>
        <v>0.15</v>
      </c>
      <c r="AD19" s="91">
        <f t="shared" si="6"/>
        <v>15.721283439038878</v>
      </c>
      <c r="AE19" s="91">
        <f t="shared" si="13"/>
        <v>8.9087272821220314</v>
      </c>
      <c r="AF19" s="92"/>
      <c r="AG19" s="91">
        <f t="shared" si="14"/>
        <v>0.54540025416964533</v>
      </c>
      <c r="AH19" s="91">
        <f t="shared" si="7"/>
        <v>0.15000000000000002</v>
      </c>
      <c r="AI19" s="91">
        <f t="shared" si="8"/>
        <v>18.151123322031811</v>
      </c>
      <c r="AJ19" s="91">
        <f t="shared" si="15"/>
        <v>10.285636549151359</v>
      </c>
      <c r="AK19" s="92"/>
      <c r="AL19" s="91">
        <f>AL18+$K$5/20</f>
        <v>0.30000000000000004</v>
      </c>
      <c r="AM19" s="91">
        <f t="shared" si="9"/>
        <v>13.875000000000004</v>
      </c>
      <c r="AN19" s="91">
        <f t="shared" si="10"/>
        <v>7.8625000000000016</v>
      </c>
      <c r="AO19" s="92"/>
      <c r="AP19" s="91">
        <f>-1*AP15</f>
        <v>45</v>
      </c>
      <c r="AQ19" s="91">
        <f>AQ18</f>
        <v>500</v>
      </c>
      <c r="AR19" s="92"/>
      <c r="AS19" s="91">
        <f>J10</f>
        <v>45</v>
      </c>
      <c r="AT19" s="91">
        <f>E10</f>
        <v>540</v>
      </c>
      <c r="AV19" s="95">
        <f t="shared" si="11"/>
        <v>2</v>
      </c>
      <c r="AW19" s="95">
        <f t="shared" si="0"/>
        <v>2.5676747325896061</v>
      </c>
      <c r="AX19" s="95">
        <f t="shared" si="1"/>
        <v>3.5</v>
      </c>
      <c r="AY19" s="95">
        <f t="shared" si="2"/>
        <v>8.8226189233553072</v>
      </c>
      <c r="AZ19" s="95">
        <f t="shared" si="3"/>
        <v>15.435669792587525</v>
      </c>
      <c r="BA19" s="95">
        <f t="shared" si="4"/>
        <v>58.180008472321511</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AB20" s="91">
        <f t="shared" si="12"/>
        <v>0.5135349465179212</v>
      </c>
      <c r="AC20" s="91">
        <f t="shared" si="5"/>
        <v>0.19999999999999998</v>
      </c>
      <c r="AD20" s="91">
        <f t="shared" si="6"/>
        <v>20.395178515509883</v>
      </c>
      <c r="AE20" s="91">
        <f t="shared" si="13"/>
        <v>11.557267825455598</v>
      </c>
      <c r="AF20" s="92"/>
      <c r="AG20" s="91">
        <f t="shared" si="14"/>
        <v>0.7272003388928604</v>
      </c>
      <c r="AH20" s="91">
        <f t="shared" si="7"/>
        <v>0.2</v>
      </c>
      <c r="AI20" s="91">
        <f t="shared" si="8"/>
        <v>23.277155162001335</v>
      </c>
      <c r="AJ20" s="91">
        <f t="shared" si="15"/>
        <v>13.19038792513409</v>
      </c>
      <c r="AK20" s="92"/>
      <c r="AL20" s="91">
        <f t="shared" si="16"/>
        <v>0.4</v>
      </c>
      <c r="AM20" s="91">
        <f t="shared" si="9"/>
        <v>17.999999999999993</v>
      </c>
      <c r="AN20" s="91">
        <f t="shared" si="10"/>
        <v>10.199999999999996</v>
      </c>
      <c r="AO20" s="92"/>
      <c r="AV20" s="95">
        <f t="shared" si="11"/>
        <v>2</v>
      </c>
      <c r="AW20" s="95">
        <f t="shared" si="0"/>
        <v>2.5676747325896061</v>
      </c>
      <c r="AX20" s="95">
        <f t="shared" si="1"/>
        <v>3.5</v>
      </c>
      <c r="AY20" s="95">
        <f t="shared" si="2"/>
        <v>8.8226189233553072</v>
      </c>
      <c r="AZ20" s="95">
        <f t="shared" si="3"/>
        <v>15.435669792587525</v>
      </c>
      <c r="BA20" s="95">
        <f t="shared" si="4"/>
        <v>58.180008472321511</v>
      </c>
    </row>
    <row r="21" spans="3:53" ht="16.5" thickTop="1" thickBot="1" x14ac:dyDescent="0.3">
      <c r="C21" s="61">
        <v>8</v>
      </c>
      <c r="D21" s="62">
        <v>100</v>
      </c>
      <c r="E21" s="22">
        <f>(N18+1)*C21^2*PI()/4</f>
        <v>201.06192982974676</v>
      </c>
      <c r="F21" s="22">
        <f>(M18+1)*C21^2*PI()/4</f>
        <v>804.24771931898704</v>
      </c>
      <c r="G21" s="22">
        <f>E21/(D21*G15)*100</f>
        <v>0.38517611078495551</v>
      </c>
      <c r="H21" s="22">
        <f>F21/(D21*F15)*100</f>
        <v>0.26613094616776539</v>
      </c>
      <c r="I21" s="22">
        <f>1-(M18*2*(K18^2)+N18*2*(L18^2))/(6*F15*G15)</f>
        <v>0.85591649600108632</v>
      </c>
      <c r="J21" s="22">
        <f>(1-D21/(2*F15))*(1-D21/(2*G15))</f>
        <v>0.88925402729916758</v>
      </c>
      <c r="K21" s="22">
        <f>I21*J21</f>
        <v>0.76112719110075788</v>
      </c>
      <c r="L21" s="22">
        <f>2*MIN(G21,H21)</f>
        <v>0.53226189233553078</v>
      </c>
      <c r="M21" s="22">
        <f>L21/100*D10/E5</f>
        <v>5.3226189233553073E-2</v>
      </c>
      <c r="N21" s="23">
        <f>0.5*M21*E5</f>
        <v>1.3306547308388268</v>
      </c>
      <c r="O21" s="27"/>
      <c r="P21" s="27"/>
      <c r="Q21" s="27"/>
      <c r="R21" s="27"/>
      <c r="S21" s="27"/>
      <c r="T21" s="27"/>
      <c r="U21" s="27"/>
      <c r="V21" s="27"/>
      <c r="AB21" s="91">
        <f t="shared" si="12"/>
        <v>0.64191868314740153</v>
      </c>
      <c r="AC21" s="91">
        <f t="shared" si="5"/>
        <v>0.25</v>
      </c>
      <c r="AD21" s="91">
        <f t="shared" si="6"/>
        <v>24.785807223709934</v>
      </c>
      <c r="AE21" s="91">
        <f t="shared" si="13"/>
        <v>14.045290760102295</v>
      </c>
      <c r="AF21" s="92"/>
      <c r="AG21" s="91">
        <f t="shared" si="14"/>
        <v>0.90900042361607547</v>
      </c>
      <c r="AH21" s="91">
        <f t="shared" si="7"/>
        <v>0.25</v>
      </c>
      <c r="AI21" s="91">
        <f t="shared" si="8"/>
        <v>27.976644828096727</v>
      </c>
      <c r="AJ21" s="91">
        <f t="shared" si="15"/>
        <v>15.853432069254813</v>
      </c>
      <c r="AK21" s="92"/>
      <c r="AL21" s="91">
        <f t="shared" si="16"/>
        <v>0.5</v>
      </c>
      <c r="AM21" s="91">
        <f t="shared" si="9"/>
        <v>21.875</v>
      </c>
      <c r="AN21" s="91">
        <f t="shared" si="10"/>
        <v>12.395833333333334</v>
      </c>
      <c r="AO21" s="92"/>
      <c r="AP21" s="133" t="s">
        <v>70</v>
      </c>
      <c r="AQ21" s="133"/>
      <c r="AR21" s="53"/>
      <c r="AS21" s="133" t="s">
        <v>70</v>
      </c>
      <c r="AT21" s="133"/>
      <c r="AV21" s="95">
        <f t="shared" si="11"/>
        <v>2</v>
      </c>
      <c r="AW21" s="95">
        <f t="shared" si="0"/>
        <v>2.5676747325896061</v>
      </c>
      <c r="AX21" s="95">
        <f t="shared" si="1"/>
        <v>3.5</v>
      </c>
      <c r="AY21" s="95">
        <f t="shared" si="2"/>
        <v>8.8226189233553072</v>
      </c>
      <c r="AZ21" s="95">
        <f t="shared" si="3"/>
        <v>15.435669792587525</v>
      </c>
      <c r="BA21" s="95">
        <f t="shared" si="4"/>
        <v>58.180008472321511</v>
      </c>
    </row>
    <row r="22" spans="3:53" ht="18.75" thickBot="1" x14ac:dyDescent="0.3">
      <c r="AB22" s="91">
        <f t="shared" si="12"/>
        <v>0.77030241977688185</v>
      </c>
      <c r="AC22" s="91">
        <f t="shared" si="5"/>
        <v>0.3</v>
      </c>
      <c r="AD22" s="91">
        <f t="shared" si="6"/>
        <v>28.89316956363901</v>
      </c>
      <c r="AE22" s="91">
        <f t="shared" si="13"/>
        <v>16.372796086062106</v>
      </c>
      <c r="AF22" s="92"/>
      <c r="AG22" s="91">
        <f t="shared" si="14"/>
        <v>1.0908005083392907</v>
      </c>
      <c r="AH22" s="91">
        <f t="shared" si="7"/>
        <v>0.30000000000000004</v>
      </c>
      <c r="AI22" s="91">
        <f t="shared" si="8"/>
        <v>32.269022217793967</v>
      </c>
      <c r="AJ22" s="91">
        <f t="shared" si="15"/>
        <v>18.285779256749915</v>
      </c>
      <c r="AK22" s="92"/>
      <c r="AL22" s="91">
        <f t="shared" si="16"/>
        <v>0.6</v>
      </c>
      <c r="AM22" s="91">
        <f t="shared" si="9"/>
        <v>25.5</v>
      </c>
      <c r="AN22" s="91">
        <f t="shared" si="10"/>
        <v>14.450000000000001</v>
      </c>
      <c r="AO22" s="92"/>
      <c r="AP22" s="45" t="s">
        <v>34</v>
      </c>
      <c r="AQ22" s="45" t="s">
        <v>72</v>
      </c>
      <c r="AR22" s="57"/>
      <c r="AS22" s="45" t="s">
        <v>34</v>
      </c>
      <c r="AT22" s="45" t="s">
        <v>72</v>
      </c>
      <c r="AV22" s="95">
        <f t="shared" si="11"/>
        <v>2</v>
      </c>
      <c r="AW22" s="95">
        <f t="shared" si="0"/>
        <v>2.5676747325896061</v>
      </c>
      <c r="AX22" s="95">
        <f t="shared" si="1"/>
        <v>3.5</v>
      </c>
      <c r="AY22" s="95">
        <f t="shared" si="2"/>
        <v>8.8226189233553072</v>
      </c>
      <c r="AZ22" s="95">
        <f t="shared" si="3"/>
        <v>15.435669792587525</v>
      </c>
      <c r="BA22" s="95">
        <f t="shared" si="4"/>
        <v>58.180008472321511</v>
      </c>
    </row>
    <row r="23" spans="3:53" ht="15.75" thickBot="1" x14ac:dyDescent="0.3">
      <c r="C23" s="146" t="s">
        <v>110</v>
      </c>
      <c r="D23" s="140"/>
      <c r="E23" s="141"/>
      <c r="F23" s="139" t="s">
        <v>111</v>
      </c>
      <c r="G23" s="140"/>
      <c r="H23" s="141"/>
      <c r="I23" s="139" t="s">
        <v>112</v>
      </c>
      <c r="J23" s="140"/>
      <c r="K23" s="141"/>
      <c r="AB23" s="91">
        <f t="shared" si="12"/>
        <v>0.89868615640636218</v>
      </c>
      <c r="AC23" s="91">
        <f t="shared" si="5"/>
        <v>0.35000000000000003</v>
      </c>
      <c r="AD23" s="91">
        <f t="shared" si="6"/>
        <v>32.717265535297123</v>
      </c>
      <c r="AE23" s="91">
        <f t="shared" si="13"/>
        <v>18.539783803335038</v>
      </c>
      <c r="AF23" s="92"/>
      <c r="AG23" s="91">
        <f t="shared" si="14"/>
        <v>1.2726005930625057</v>
      </c>
      <c r="AH23" s="91">
        <f t="shared" si="7"/>
        <v>0.35000000000000003</v>
      </c>
      <c r="AI23" s="91">
        <f t="shared" si="8"/>
        <v>36.172554782010494</v>
      </c>
      <c r="AJ23" s="91">
        <f t="shared" si="15"/>
        <v>20.49778104313928</v>
      </c>
      <c r="AK23" s="92"/>
      <c r="AL23" s="91">
        <f t="shared" si="16"/>
        <v>0.7</v>
      </c>
      <c r="AM23" s="91">
        <f t="shared" si="9"/>
        <v>28.874999999999996</v>
      </c>
      <c r="AN23" s="91">
        <f t="shared" si="10"/>
        <v>16.362499999999997</v>
      </c>
      <c r="AO23" s="92"/>
      <c r="AP23" s="38" t="s">
        <v>17</v>
      </c>
      <c r="AQ23" s="48" t="s">
        <v>15</v>
      </c>
      <c r="AR23" s="92"/>
      <c r="AS23" s="38" t="s">
        <v>17</v>
      </c>
      <c r="AT23" s="48" t="s">
        <v>15</v>
      </c>
      <c r="AV23" s="95">
        <f t="shared" si="11"/>
        <v>2</v>
      </c>
      <c r="AW23" s="95">
        <f t="shared" si="0"/>
        <v>2.5676747325896061</v>
      </c>
      <c r="AX23" s="95">
        <f t="shared" si="1"/>
        <v>3.5</v>
      </c>
      <c r="AY23" s="95">
        <f t="shared" si="2"/>
        <v>8.8226189233553072</v>
      </c>
      <c r="AZ23" s="95">
        <f t="shared" si="3"/>
        <v>15.435669792587525</v>
      </c>
      <c r="BA23" s="95">
        <f t="shared" si="4"/>
        <v>58.180008472321511</v>
      </c>
    </row>
    <row r="24" spans="3:53" ht="18.75" thickTop="1" x14ac:dyDescent="0.25">
      <c r="C24" s="44" t="s">
        <v>109</v>
      </c>
      <c r="D24" s="142" t="str">
        <f>IF(H15="Column",IF(C26&lt;0.01,"Increase RFT",IF(C26&gt;0.04,"Decrease RFT","Pass")),IF(H15="Wall",IF(C26&lt;0.005,"Increase RFT",IF(C26&gt;0.04,"Decrease RFT","Pass"))))</f>
        <v>Increase RFT</v>
      </c>
      <c r="E24" s="143"/>
      <c r="F24" s="45" t="s">
        <v>82</v>
      </c>
      <c r="G24" s="142" t="str">
        <f>IF(D21&lt;MIN(F15/2,G15/2,175,8*C18),"Pass","Decrease Spacing")</f>
        <v>Pass</v>
      </c>
      <c r="H24" s="143"/>
      <c r="I24" s="45" t="s">
        <v>113</v>
      </c>
      <c r="J24" s="142" t="str">
        <f>IF(I26&gt;0.08,"Pass","Adjust Detail")</f>
        <v>Pass</v>
      </c>
      <c r="K24" s="143"/>
      <c r="AB24" s="91">
        <f t="shared" si="12"/>
        <v>1.0270698930358424</v>
      </c>
      <c r="AC24" s="91">
        <f t="shared" si="5"/>
        <v>0.39999999999999997</v>
      </c>
      <c r="AD24" s="91">
        <f t="shared" si="6"/>
        <v>36.25809513868424</v>
      </c>
      <c r="AE24" s="91">
        <f t="shared" si="13"/>
        <v>20.546253911921067</v>
      </c>
      <c r="AF24" s="92"/>
      <c r="AG24" s="91">
        <f t="shared" si="14"/>
        <v>1.4544006777857208</v>
      </c>
      <c r="AH24" s="91">
        <f t="shared" si="7"/>
        <v>0.4</v>
      </c>
      <c r="AI24" s="91">
        <f t="shared" si="8"/>
        <v>39.704433177179006</v>
      </c>
      <c r="AJ24" s="91">
        <f t="shared" si="15"/>
        <v>22.499178800401438</v>
      </c>
      <c r="AK24" s="92"/>
      <c r="AL24" s="91">
        <f t="shared" si="16"/>
        <v>0.79999999999999993</v>
      </c>
      <c r="AM24" s="91">
        <f t="shared" si="9"/>
        <v>31.999999999999996</v>
      </c>
      <c r="AN24" s="91">
        <f t="shared" si="10"/>
        <v>18.133333333333329</v>
      </c>
      <c r="AO24" s="92"/>
      <c r="AP24" s="7">
        <f>AP15</f>
        <v>-45</v>
      </c>
      <c r="AQ24" s="7">
        <f>-D10/M10</f>
        <v>-434.78260869565219</v>
      </c>
      <c r="AR24" s="92"/>
      <c r="AS24" s="7">
        <f>-1*J10</f>
        <v>-45</v>
      </c>
      <c r="AT24" s="7">
        <f>-1*E10/M10</f>
        <v>-469.56521739130437</v>
      </c>
      <c r="AV24" s="95">
        <f t="shared" si="11"/>
        <v>2</v>
      </c>
      <c r="AW24" s="95">
        <f t="shared" si="0"/>
        <v>2.5676747325896061</v>
      </c>
      <c r="AX24" s="95">
        <f t="shared" si="1"/>
        <v>3.5</v>
      </c>
      <c r="AY24" s="95">
        <f t="shared" si="2"/>
        <v>8.8226189233553072</v>
      </c>
      <c r="AZ24" s="95">
        <f t="shared" si="3"/>
        <v>15.435669792587525</v>
      </c>
      <c r="BA24" s="95">
        <f t="shared" si="4"/>
        <v>58.180008472321511</v>
      </c>
    </row>
    <row r="25" spans="3:53" x14ac:dyDescent="0.25">
      <c r="C25" s="71" t="s">
        <v>57</v>
      </c>
      <c r="D25" s="142"/>
      <c r="E25" s="143"/>
      <c r="F25" s="91" t="s">
        <v>31</v>
      </c>
      <c r="G25" s="142"/>
      <c r="H25" s="143"/>
      <c r="I25" s="91" t="s">
        <v>14</v>
      </c>
      <c r="J25" s="142"/>
      <c r="K25" s="143"/>
      <c r="AB25" s="91">
        <f t="shared" si="12"/>
        <v>1.1554536296653226</v>
      </c>
      <c r="AC25" s="91">
        <f t="shared" si="5"/>
        <v>0.44999999999999996</v>
      </c>
      <c r="AD25" s="91">
        <f t="shared" si="6"/>
        <v>39.515658373800413</v>
      </c>
      <c r="AE25" s="91">
        <f t="shared" si="13"/>
        <v>22.392206411820236</v>
      </c>
      <c r="AF25" s="92"/>
      <c r="AG25" s="91">
        <f t="shared" si="14"/>
        <v>1.6362007625089359</v>
      </c>
      <c r="AH25" s="91">
        <f t="shared" si="7"/>
        <v>0.45</v>
      </c>
      <c r="AI25" s="91">
        <f t="shared" si="8"/>
        <v>42.880849454024244</v>
      </c>
      <c r="AJ25" s="91">
        <f t="shared" si="15"/>
        <v>24.299148023947069</v>
      </c>
      <c r="AK25" s="92"/>
      <c r="AL25" s="91">
        <f t="shared" si="16"/>
        <v>0.89999999999999991</v>
      </c>
      <c r="AM25" s="91">
        <f t="shared" si="9"/>
        <v>34.875</v>
      </c>
      <c r="AN25" s="91">
        <f t="shared" si="10"/>
        <v>19.762499999999999</v>
      </c>
      <c r="AO25" s="92"/>
      <c r="AP25" s="91">
        <f>-D10/M10/G10</f>
        <v>-2.1739130434782608</v>
      </c>
      <c r="AQ25" s="91">
        <f>AQ24</f>
        <v>-434.78260869565219</v>
      </c>
      <c r="AR25" s="92"/>
      <c r="AS25" s="91">
        <f>-1*D10/G10/M10</f>
        <v>-2.1739130434782612</v>
      </c>
      <c r="AT25" s="91">
        <f>-1*D10/M10</f>
        <v>-434.78260869565219</v>
      </c>
      <c r="AV25" s="95">
        <f t="shared" si="11"/>
        <v>2</v>
      </c>
      <c r="AW25" s="95">
        <f t="shared" si="0"/>
        <v>2.5676747325896061</v>
      </c>
      <c r="AX25" s="95">
        <f t="shared" si="1"/>
        <v>3.5</v>
      </c>
      <c r="AY25" s="95">
        <f t="shared" si="2"/>
        <v>8.8226189233553072</v>
      </c>
      <c r="AZ25" s="95">
        <f t="shared" si="3"/>
        <v>15.435669792587525</v>
      </c>
      <c r="BA25" s="95">
        <f t="shared" si="4"/>
        <v>58.180008472321511</v>
      </c>
    </row>
    <row r="26" spans="3:53" ht="15.75" thickBot="1" x14ac:dyDescent="0.3">
      <c r="C26" s="152">
        <f>IF(G18=1,C18^2*PI()/4*2*(F18+1)/(C15*D15),C18^2*PI()/4*(2*(F18+1)+2*G18)/(C15*D15))</f>
        <v>4.1077168459840736E-3</v>
      </c>
      <c r="D26" s="144"/>
      <c r="E26" s="145"/>
      <c r="F26" s="34">
        <f>D21</f>
        <v>100</v>
      </c>
      <c r="G26" s="144"/>
      <c r="H26" s="145"/>
      <c r="I26" s="34">
        <f>L21/100*AQ28/AN37</f>
        <v>8.1677016726679902E-2</v>
      </c>
      <c r="J26" s="144"/>
      <c r="K26" s="145"/>
      <c r="AB26" s="91">
        <f t="shared" si="12"/>
        <v>1.2838373662948028</v>
      </c>
      <c r="AC26" s="91">
        <f t="shared" si="5"/>
        <v>0.49999999999999989</v>
      </c>
      <c r="AD26" s="91">
        <f t="shared" si="6"/>
        <v>42.4899552406456</v>
      </c>
      <c r="AE26" s="91">
        <f t="shared" si="13"/>
        <v>24.077641303032507</v>
      </c>
      <c r="AF26" s="92"/>
      <c r="AG26" s="91">
        <f t="shared" si="14"/>
        <v>1.8180008472321509</v>
      </c>
      <c r="AH26" s="91">
        <f t="shared" si="7"/>
        <v>0.5</v>
      </c>
      <c r="AI26" s="91">
        <f t="shared" si="8"/>
        <v>45.717068530882727</v>
      </c>
      <c r="AJ26" s="91">
        <f t="shared" si="15"/>
        <v>25.906338834166878</v>
      </c>
      <c r="AK26" s="92"/>
      <c r="AL26" s="91">
        <f t="shared" si="16"/>
        <v>0.99999999999999989</v>
      </c>
      <c r="AM26" s="91">
        <f t="shared" si="9"/>
        <v>37.5</v>
      </c>
      <c r="AN26" s="91">
        <f t="shared" si="10"/>
        <v>21.25</v>
      </c>
      <c r="AO26" s="92"/>
      <c r="AP26" s="91">
        <v>0</v>
      </c>
      <c r="AQ26" s="91">
        <f>0</f>
        <v>0</v>
      </c>
      <c r="AR26" s="92"/>
      <c r="AS26" s="91">
        <f>0</f>
        <v>0</v>
      </c>
      <c r="AT26" s="91">
        <f>0</f>
        <v>0</v>
      </c>
      <c r="AV26" s="95">
        <f t="shared" si="11"/>
        <v>2</v>
      </c>
      <c r="AW26" s="95">
        <f t="shared" si="0"/>
        <v>2.5676747325896061</v>
      </c>
      <c r="AX26" s="95">
        <f t="shared" si="1"/>
        <v>3.5</v>
      </c>
      <c r="AY26" s="95">
        <f t="shared" si="2"/>
        <v>8.8226189233553072</v>
      </c>
      <c r="AZ26" s="95">
        <f t="shared" si="3"/>
        <v>15.435669792587525</v>
      </c>
      <c r="BA26" s="95">
        <f t="shared" si="4"/>
        <v>58.180008472321511</v>
      </c>
    </row>
    <row r="27" spans="3:53" ht="15.75" thickBot="1" x14ac:dyDescent="0.3">
      <c r="AB27" s="91">
        <f t="shared" si="12"/>
        <v>1.412221102924283</v>
      </c>
      <c r="AC27" s="91">
        <f t="shared" si="5"/>
        <v>0.54999999999999993</v>
      </c>
      <c r="AD27" s="91">
        <f t="shared" si="6"/>
        <v>45.180985739219821</v>
      </c>
      <c r="AE27" s="91">
        <f t="shared" si="13"/>
        <v>25.602558585557897</v>
      </c>
      <c r="AF27" s="92"/>
      <c r="AG27" s="91">
        <f t="shared" si="14"/>
        <v>1.999800931955366</v>
      </c>
      <c r="AH27" s="91">
        <f t="shared" si="7"/>
        <v>0.55000000000000004</v>
      </c>
      <c r="AI27" s="91">
        <f t="shared" si="8"/>
        <v>48.227493614973653</v>
      </c>
      <c r="AJ27" s="91">
        <f t="shared" si="15"/>
        <v>27.328913048485067</v>
      </c>
      <c r="AK27" s="92"/>
      <c r="AL27" s="91">
        <f t="shared" si="16"/>
        <v>1.0999999999999999</v>
      </c>
      <c r="AM27" s="91">
        <f t="shared" si="9"/>
        <v>39.874999999999993</v>
      </c>
      <c r="AN27" s="91">
        <f t="shared" si="10"/>
        <v>22.595833333333328</v>
      </c>
      <c r="AO27" s="92"/>
      <c r="AP27" s="91">
        <f>-AP25</f>
        <v>2.1739130434782608</v>
      </c>
      <c r="AQ27" s="91">
        <f>-AQ25</f>
        <v>434.78260869565219</v>
      </c>
      <c r="AR27" s="92"/>
      <c r="AS27" s="91">
        <f>D10/G10/M10</f>
        <v>2.1739130434782612</v>
      </c>
      <c r="AT27" s="91">
        <f>D10/M10</f>
        <v>434.78260869565219</v>
      </c>
      <c r="AV27" s="95">
        <f t="shared" si="11"/>
        <v>2</v>
      </c>
      <c r="AW27" s="95">
        <f t="shared" si="0"/>
        <v>2.5676747325896061</v>
      </c>
      <c r="AX27" s="95">
        <f t="shared" si="1"/>
        <v>3.5</v>
      </c>
      <c r="AY27" s="95">
        <f t="shared" si="2"/>
        <v>8.8226189233553072</v>
      </c>
      <c r="AZ27" s="95">
        <f t="shared" si="3"/>
        <v>15.435669792587525</v>
      </c>
      <c r="BA27" s="95">
        <f t="shared" si="4"/>
        <v>58.180008472321511</v>
      </c>
    </row>
    <row r="28" spans="3:53" x14ac:dyDescent="0.25">
      <c r="C28" s="129" t="s">
        <v>91</v>
      </c>
      <c r="D28" s="130"/>
      <c r="E28" s="130"/>
      <c r="F28" s="131"/>
      <c r="H28" s="129" t="s">
        <v>92</v>
      </c>
      <c r="I28" s="130"/>
      <c r="J28" s="130"/>
      <c r="K28" s="131"/>
      <c r="AB28" s="91">
        <f t="shared" si="12"/>
        <v>1.5406048395537633</v>
      </c>
      <c r="AC28" s="91">
        <f t="shared" si="5"/>
        <v>0.59999999999999987</v>
      </c>
      <c r="AD28" s="91">
        <f t="shared" si="6"/>
        <v>47.58874986952307</v>
      </c>
      <c r="AE28" s="91">
        <f t="shared" si="13"/>
        <v>26.966958259396407</v>
      </c>
      <c r="AF28" s="92"/>
      <c r="AG28" s="91">
        <f t="shared" si="14"/>
        <v>2.1816010166785813</v>
      </c>
      <c r="AH28" s="91">
        <f t="shared" si="7"/>
        <v>0.60000000000000009</v>
      </c>
      <c r="AI28" s="91">
        <f t="shared" si="8"/>
        <v>50.425726161172086</v>
      </c>
      <c r="AJ28" s="91">
        <f t="shared" si="15"/>
        <v>28.574578157997518</v>
      </c>
      <c r="AK28" s="92"/>
      <c r="AL28" s="91">
        <f t="shared" si="16"/>
        <v>1.2</v>
      </c>
      <c r="AM28" s="91">
        <f t="shared" si="9"/>
        <v>42</v>
      </c>
      <c r="AN28" s="91">
        <f t="shared" si="10"/>
        <v>23.799999999999997</v>
      </c>
      <c r="AO28" s="92"/>
      <c r="AP28" s="91">
        <f>-AP24</f>
        <v>45</v>
      </c>
      <c r="AQ28" s="91">
        <f>-AQ25</f>
        <v>434.78260869565219</v>
      </c>
      <c r="AR28" s="92"/>
      <c r="AS28" s="91">
        <f>J10</f>
        <v>45</v>
      </c>
      <c r="AT28" s="91">
        <f>E10/M10</f>
        <v>469.56521739130437</v>
      </c>
      <c r="AV28" s="95">
        <f t="shared" si="11"/>
        <v>2</v>
      </c>
      <c r="AW28" s="95">
        <f t="shared" si="0"/>
        <v>2.5676747325896061</v>
      </c>
      <c r="AX28" s="95">
        <f t="shared" si="1"/>
        <v>3.5</v>
      </c>
      <c r="AY28" s="95">
        <f t="shared" si="2"/>
        <v>8.8226189233553072</v>
      </c>
      <c r="AZ28" s="95">
        <f t="shared" si="3"/>
        <v>15.435669792587525</v>
      </c>
      <c r="BA28" s="95">
        <f t="shared" si="4"/>
        <v>58.180008472321511</v>
      </c>
    </row>
    <row r="29" spans="3:53" x14ac:dyDescent="0.25">
      <c r="C29" s="73" t="s">
        <v>61</v>
      </c>
      <c r="D29" s="3" t="s">
        <v>62</v>
      </c>
      <c r="E29" s="3" t="s">
        <v>63</v>
      </c>
      <c r="F29" s="74" t="s">
        <v>66</v>
      </c>
      <c r="H29" s="73" t="s">
        <v>61</v>
      </c>
      <c r="I29" s="3" t="s">
        <v>62</v>
      </c>
      <c r="J29" s="3" t="s">
        <v>63</v>
      </c>
      <c r="K29" s="74" t="s">
        <v>66</v>
      </c>
      <c r="AB29" s="91">
        <f t="shared" si="12"/>
        <v>1.6689885761832435</v>
      </c>
      <c r="AC29" s="91">
        <f t="shared" si="5"/>
        <v>0.6499999999999998</v>
      </c>
      <c r="AD29" s="91">
        <f t="shared" si="6"/>
        <v>49.713247631555348</v>
      </c>
      <c r="AE29" s="91">
        <f t="shared" si="13"/>
        <v>28.170840324548028</v>
      </c>
      <c r="AF29" s="92"/>
      <c r="AG29" s="91">
        <f t="shared" si="14"/>
        <v>2.3634011014017964</v>
      </c>
      <c r="AH29" s="91">
        <f t="shared" si="7"/>
        <v>0.65</v>
      </c>
      <c r="AI29" s="91">
        <f t="shared" si="8"/>
        <v>52.324620893102001</v>
      </c>
      <c r="AJ29" s="91">
        <f t="shared" si="15"/>
        <v>29.650618506091135</v>
      </c>
      <c r="AK29" s="92"/>
      <c r="AL29" s="91">
        <f t="shared" si="16"/>
        <v>1.3</v>
      </c>
      <c r="AM29" s="91">
        <f t="shared" si="9"/>
        <v>43.875</v>
      </c>
      <c r="AN29" s="91">
        <f t="shared" si="10"/>
        <v>24.862499999999997</v>
      </c>
      <c r="AO29" s="92"/>
      <c r="AV29" s="95">
        <f t="shared" si="11"/>
        <v>2</v>
      </c>
      <c r="AW29" s="95">
        <f t="shared" si="0"/>
        <v>2.5676747325896061</v>
      </c>
      <c r="AX29" s="95">
        <f t="shared" si="1"/>
        <v>3.5</v>
      </c>
      <c r="AY29" s="95">
        <f t="shared" si="2"/>
        <v>8.8226189233553072</v>
      </c>
      <c r="AZ29" s="95">
        <f t="shared" si="3"/>
        <v>15.435669792587525</v>
      </c>
      <c r="BA29" s="95">
        <f t="shared" si="4"/>
        <v>58.180008472321511</v>
      </c>
    </row>
    <row r="30" spans="3:53" ht="15.75" thickBot="1" x14ac:dyDescent="0.3">
      <c r="C30" s="75" t="s">
        <v>15</v>
      </c>
      <c r="D30" s="38" t="s">
        <v>17</v>
      </c>
      <c r="E30" s="38" t="s">
        <v>17</v>
      </c>
      <c r="F30" s="76" t="s">
        <v>15</v>
      </c>
      <c r="H30" s="75" t="s">
        <v>15</v>
      </c>
      <c r="I30" s="38" t="s">
        <v>17</v>
      </c>
      <c r="J30" s="38" t="s">
        <v>17</v>
      </c>
      <c r="K30" s="76" t="s">
        <v>15</v>
      </c>
      <c r="AB30" s="91">
        <f t="shared" si="12"/>
        <v>1.7973723128127237</v>
      </c>
      <c r="AC30" s="91">
        <f t="shared" si="5"/>
        <v>0.69999999999999973</v>
      </c>
      <c r="AD30" s="91">
        <f t="shared" si="6"/>
        <v>51.554479025316652</v>
      </c>
      <c r="AE30" s="91">
        <f t="shared" si="13"/>
        <v>29.214204781012768</v>
      </c>
      <c r="AF30" s="92"/>
      <c r="AG30" s="91">
        <f t="shared" si="14"/>
        <v>2.5452011861250114</v>
      </c>
      <c r="AH30" s="91">
        <f t="shared" si="7"/>
        <v>0.70000000000000007</v>
      </c>
      <c r="AI30" s="91">
        <f t="shared" si="8"/>
        <v>53.936336354520911</v>
      </c>
      <c r="AJ30" s="91">
        <f t="shared" si="15"/>
        <v>30.563923934228516</v>
      </c>
      <c r="AK30" s="92"/>
      <c r="AL30" s="91">
        <f t="shared" si="16"/>
        <v>1.4000000000000001</v>
      </c>
      <c r="AM30" s="91">
        <f t="shared" si="9"/>
        <v>45.5</v>
      </c>
      <c r="AN30" s="91">
        <f t="shared" si="10"/>
        <v>25.783333333333331</v>
      </c>
      <c r="AO30" s="92"/>
      <c r="AV30" s="95">
        <f t="shared" si="11"/>
        <v>2</v>
      </c>
      <c r="AW30" s="95">
        <f t="shared" si="0"/>
        <v>2.5676747325896061</v>
      </c>
      <c r="AX30" s="95">
        <f t="shared" si="1"/>
        <v>3.5</v>
      </c>
      <c r="AY30" s="95">
        <f t="shared" si="2"/>
        <v>8.8226189233553072</v>
      </c>
      <c r="AZ30" s="95">
        <f t="shared" si="3"/>
        <v>15.435669792587525</v>
      </c>
      <c r="BA30" s="95">
        <f t="shared" si="4"/>
        <v>58.180008472321511</v>
      </c>
    </row>
    <row r="31" spans="3:53" ht="15.75" customHeight="1" thickTop="1" thickBot="1" x14ac:dyDescent="0.3">
      <c r="C31" s="9">
        <f>IF(N21&lt;=0.05*E5,E5*(1+5*N21/E5),E5*(1.125+2.5*N21/E5))</f>
        <v>56.653273654194138</v>
      </c>
      <c r="D31" s="10">
        <f>K5*(C31/E5)^2</f>
        <v>2.5676747325896061</v>
      </c>
      <c r="E31" s="11">
        <f>L5+0.2*N21/E5*1000</f>
        <v>8.8226189233553072</v>
      </c>
      <c r="F31" s="94">
        <f>$N$10*C31/L10</f>
        <v>32.103521737376674</v>
      </c>
      <c r="H31" s="9">
        <f>$E$5*(1+3.7*(N21/E5)^0.86)</f>
        <v>58.180008472321511</v>
      </c>
      <c r="I31" s="10">
        <f>$K$5*(1+5*(H31/E5-1))</f>
        <v>3.6360016944643019</v>
      </c>
      <c r="J31" s="11">
        <f>(4/1000+0.5*N21/H31)*1000</f>
        <v>15.435669792587525</v>
      </c>
      <c r="K31" s="94">
        <f>H31*N10/L10</f>
        <v>32.968671467648853</v>
      </c>
      <c r="AB31" s="91">
        <f t="shared" si="12"/>
        <v>1.9257560494422039</v>
      </c>
      <c r="AC31" s="91">
        <f t="shared" si="5"/>
        <v>0.74999999999999978</v>
      </c>
      <c r="AD31" s="91">
        <f t="shared" si="6"/>
        <v>53.112444050806999</v>
      </c>
      <c r="AE31" s="91">
        <f t="shared" si="13"/>
        <v>30.097051628790634</v>
      </c>
      <c r="AF31" s="92"/>
      <c r="AG31" s="91">
        <f t="shared" si="14"/>
        <v>2.7270012708482265</v>
      </c>
      <c r="AH31" s="91">
        <f t="shared" si="7"/>
        <v>0.75</v>
      </c>
      <c r="AI31" s="91">
        <f t="shared" si="8"/>
        <v>55.272381408956754</v>
      </c>
      <c r="AJ31" s="91">
        <f t="shared" si="15"/>
        <v>31.321016131742159</v>
      </c>
      <c r="AK31" s="92"/>
      <c r="AL31" s="91">
        <f t="shared" si="16"/>
        <v>1.5000000000000002</v>
      </c>
      <c r="AM31" s="91">
        <f t="shared" si="9"/>
        <v>46.875</v>
      </c>
      <c r="AN31" s="91">
        <f t="shared" si="10"/>
        <v>26.5625</v>
      </c>
      <c r="AO31" s="92"/>
      <c r="AV31" s="95">
        <f t="shared" si="11"/>
        <v>2</v>
      </c>
      <c r="AW31" s="95">
        <f t="shared" si="0"/>
        <v>2.5676747325896061</v>
      </c>
      <c r="AX31" s="95">
        <f t="shared" si="1"/>
        <v>3.5</v>
      </c>
      <c r="AY31" s="95">
        <f t="shared" si="2"/>
        <v>8.8226189233553072</v>
      </c>
      <c r="AZ31" s="95">
        <f t="shared" si="3"/>
        <v>15.435669792587525</v>
      </c>
      <c r="BA31" s="95">
        <f t="shared" si="4"/>
        <v>58.180008472321511</v>
      </c>
    </row>
    <row r="32" spans="3:53" ht="15.75" customHeight="1" x14ac:dyDescent="0.25">
      <c r="AB32" s="91">
        <f t="shared" si="12"/>
        <v>2.0541397860716843</v>
      </c>
      <c r="AC32" s="91">
        <f t="shared" si="5"/>
        <v>0.79999999999999982</v>
      </c>
      <c r="AD32" s="91">
        <f t="shared" si="6"/>
        <v>54.387142708026367</v>
      </c>
      <c r="AE32" s="91">
        <f t="shared" si="13"/>
        <v>30.819380867881605</v>
      </c>
      <c r="AF32" s="92"/>
      <c r="AG32" s="91">
        <f t="shared" si="14"/>
        <v>2.9088013555714416</v>
      </c>
      <c r="AH32" s="91">
        <f t="shared" si="7"/>
        <v>0.8</v>
      </c>
      <c r="AI32" s="91">
        <f t="shared" si="8"/>
        <v>56.343658061479616</v>
      </c>
      <c r="AJ32" s="91">
        <f t="shared" si="15"/>
        <v>31.928072901505114</v>
      </c>
      <c r="AK32" s="92"/>
      <c r="AL32" s="91">
        <f t="shared" si="16"/>
        <v>1.6000000000000003</v>
      </c>
      <c r="AM32" s="91">
        <f t="shared" si="9"/>
        <v>48.000000000000007</v>
      </c>
      <c r="AN32" s="91">
        <f t="shared" si="10"/>
        <v>27.200000000000003</v>
      </c>
      <c r="AO32" s="92"/>
      <c r="AV32" s="95">
        <f t="shared" si="11"/>
        <v>2</v>
      </c>
      <c r="AW32" s="95">
        <f t="shared" si="0"/>
        <v>2.5676747325896061</v>
      </c>
      <c r="AX32" s="95">
        <f t="shared" si="1"/>
        <v>3.5</v>
      </c>
      <c r="AY32" s="95">
        <f t="shared" si="2"/>
        <v>8.8226189233553072</v>
      </c>
      <c r="AZ32" s="95">
        <f t="shared" si="3"/>
        <v>15.435669792587525</v>
      </c>
      <c r="BA32" s="95">
        <f t="shared" si="4"/>
        <v>58.180008472321511</v>
      </c>
    </row>
    <row r="33" spans="3:53" ht="15.75" customHeight="1" x14ac:dyDescent="0.25">
      <c r="AB33" s="91">
        <f t="shared" si="12"/>
        <v>2.1825235227011648</v>
      </c>
      <c r="AC33" s="91">
        <f t="shared" si="5"/>
        <v>0.84999999999999987</v>
      </c>
      <c r="AD33" s="91">
        <f t="shared" si="6"/>
        <v>55.378574996974763</v>
      </c>
      <c r="AE33" s="91">
        <f t="shared" si="13"/>
        <v>31.381192498285699</v>
      </c>
      <c r="AF33" s="92"/>
      <c r="AG33" s="91">
        <f t="shared" si="14"/>
        <v>3.0906014402946567</v>
      </c>
      <c r="AH33" s="91">
        <f t="shared" si="7"/>
        <v>0.85</v>
      </c>
      <c r="AI33" s="91">
        <f t="shared" si="8"/>
        <v>57.160500937574902</v>
      </c>
      <c r="AJ33" s="91">
        <f t="shared" si="15"/>
        <v>32.39095053129244</v>
      </c>
      <c r="AK33" s="92"/>
      <c r="AL33" s="91">
        <f t="shared" si="16"/>
        <v>1.7000000000000004</v>
      </c>
      <c r="AM33" s="91">
        <f t="shared" si="9"/>
        <v>48.875</v>
      </c>
      <c r="AN33" s="91">
        <f t="shared" si="10"/>
        <v>27.695833333333329</v>
      </c>
      <c r="AO33" s="92"/>
      <c r="AV33" s="95">
        <f t="shared" si="11"/>
        <v>2</v>
      </c>
      <c r="AW33" s="95">
        <f t="shared" si="0"/>
        <v>2.5676747325896061</v>
      </c>
      <c r="AX33" s="95">
        <f t="shared" si="1"/>
        <v>3.5</v>
      </c>
      <c r="AY33" s="95">
        <f t="shared" si="2"/>
        <v>8.8226189233553072</v>
      </c>
      <c r="AZ33" s="95">
        <f t="shared" si="3"/>
        <v>15.435669792587525</v>
      </c>
      <c r="BA33" s="95">
        <f t="shared" si="4"/>
        <v>58.180008472321511</v>
      </c>
    </row>
    <row r="34" spans="3:53" ht="16.5" customHeight="1" x14ac:dyDescent="0.25">
      <c r="AB34" s="91">
        <f t="shared" si="12"/>
        <v>2.3109072593306452</v>
      </c>
      <c r="AC34" s="91">
        <f t="shared" si="5"/>
        <v>0.89999999999999991</v>
      </c>
      <c r="AD34" s="91">
        <f t="shared" si="6"/>
        <v>56.086740917652193</v>
      </c>
      <c r="AE34" s="91">
        <f t="shared" si="13"/>
        <v>31.782486520002909</v>
      </c>
      <c r="AF34" s="92"/>
      <c r="AG34" s="91">
        <f t="shared" si="14"/>
        <v>3.2724015250178717</v>
      </c>
      <c r="AH34" s="91">
        <f t="shared" si="7"/>
        <v>0.9</v>
      </c>
      <c r="AI34" s="91">
        <f t="shared" si="8"/>
        <v>57.732713719666165</v>
      </c>
      <c r="AJ34" s="91">
        <f t="shared" si="15"/>
        <v>32.715204441144159</v>
      </c>
      <c r="AK34" s="92"/>
      <c r="AL34" s="91">
        <f t="shared" si="16"/>
        <v>1.8000000000000005</v>
      </c>
      <c r="AM34" s="91">
        <f t="shared" si="9"/>
        <v>49.500000000000007</v>
      </c>
      <c r="AN34" s="91">
        <f t="shared" si="10"/>
        <v>28.05</v>
      </c>
      <c r="AO34" s="92"/>
      <c r="AV34" s="95">
        <f t="shared" si="11"/>
        <v>2</v>
      </c>
      <c r="AW34" s="95">
        <f t="shared" si="0"/>
        <v>2.5676747325896061</v>
      </c>
      <c r="AX34" s="95">
        <f t="shared" si="1"/>
        <v>3.5</v>
      </c>
      <c r="AY34" s="95">
        <f t="shared" si="2"/>
        <v>8.8226189233553072</v>
      </c>
      <c r="AZ34" s="95">
        <f t="shared" si="3"/>
        <v>15.435669792587525</v>
      </c>
      <c r="BA34" s="95">
        <f t="shared" si="4"/>
        <v>58.180008472321511</v>
      </c>
    </row>
    <row r="35" spans="3:53" x14ac:dyDescent="0.25">
      <c r="AB35" s="91">
        <f t="shared" si="12"/>
        <v>2.4392909959601257</v>
      </c>
      <c r="AC35" s="91">
        <f t="shared" si="5"/>
        <v>0.95</v>
      </c>
      <c r="AD35" s="91">
        <f t="shared" si="6"/>
        <v>56.511640470058651</v>
      </c>
      <c r="AE35" s="91">
        <f t="shared" si="13"/>
        <v>32.023262933033237</v>
      </c>
      <c r="AF35" s="92"/>
      <c r="AG35" s="91">
        <f t="shared" si="14"/>
        <v>3.4542016097410868</v>
      </c>
      <c r="AH35" s="91">
        <f t="shared" si="7"/>
        <v>0.95</v>
      </c>
      <c r="AI35" s="91">
        <f t="shared" si="8"/>
        <v>58.069602811346201</v>
      </c>
      <c r="AJ35" s="91">
        <f t="shared" si="15"/>
        <v>32.906108259762846</v>
      </c>
      <c r="AK35" s="92"/>
      <c r="AL35" s="91">
        <f t="shared" si="16"/>
        <v>1.9000000000000006</v>
      </c>
      <c r="AM35" s="91">
        <f t="shared" si="9"/>
        <v>49.875</v>
      </c>
      <c r="AN35" s="91">
        <f t="shared" si="10"/>
        <v>28.262499999999999</v>
      </c>
      <c r="AO35" s="92"/>
      <c r="AV35" s="95">
        <f t="shared" si="11"/>
        <v>2</v>
      </c>
      <c r="AW35" s="95">
        <f t="shared" si="0"/>
        <v>2.5676747325896061</v>
      </c>
      <c r="AX35" s="95">
        <f t="shared" si="1"/>
        <v>3.5</v>
      </c>
      <c r="AY35" s="95">
        <f t="shared" si="2"/>
        <v>8.8226189233553072</v>
      </c>
      <c r="AZ35" s="95">
        <f t="shared" si="3"/>
        <v>15.435669792587525</v>
      </c>
      <c r="BA35" s="95">
        <f t="shared" si="4"/>
        <v>58.180008472321511</v>
      </c>
    </row>
    <row r="36" spans="3:53" ht="15.75" thickBot="1" x14ac:dyDescent="0.3">
      <c r="AB36" s="12">
        <f t="shared" si="12"/>
        <v>2.5676747325896061</v>
      </c>
      <c r="AC36" s="91">
        <f t="shared" si="5"/>
        <v>1</v>
      </c>
      <c r="AD36" s="91">
        <f t="shared" si="6"/>
        <v>56.653273654194138</v>
      </c>
      <c r="AE36" s="91">
        <f t="shared" si="13"/>
        <v>32.103521737376674</v>
      </c>
      <c r="AF36" s="92"/>
      <c r="AG36" s="12">
        <f t="shared" si="14"/>
        <v>3.6360016944643019</v>
      </c>
      <c r="AH36" s="91">
        <f t="shared" si="7"/>
        <v>1</v>
      </c>
      <c r="AI36" s="91">
        <f t="shared" si="8"/>
        <v>58.180008472321511</v>
      </c>
      <c r="AJ36" s="91">
        <f t="shared" si="15"/>
        <v>32.968671467648853</v>
      </c>
      <c r="AK36" s="92"/>
      <c r="AL36" s="15">
        <f t="shared" si="16"/>
        <v>2.0000000000000004</v>
      </c>
      <c r="AM36" s="91">
        <f t="shared" si="9"/>
        <v>50</v>
      </c>
      <c r="AN36" s="91">
        <f t="shared" si="10"/>
        <v>28.333333333333332</v>
      </c>
      <c r="AO36" s="92"/>
      <c r="AV36" s="95">
        <f t="shared" si="11"/>
        <v>2</v>
      </c>
      <c r="AW36" s="95">
        <f t="shared" si="0"/>
        <v>2.5676747325896061</v>
      </c>
      <c r="AX36" s="95">
        <f t="shared" si="1"/>
        <v>3.5</v>
      </c>
      <c r="AY36" s="95">
        <f t="shared" si="2"/>
        <v>8.8226189233553072</v>
      </c>
      <c r="AZ36" s="95">
        <f t="shared" si="3"/>
        <v>15.435669792587525</v>
      </c>
      <c r="BA36" s="95">
        <f t="shared" si="4"/>
        <v>58.180008472321511</v>
      </c>
    </row>
    <row r="37" spans="3:53" ht="18" customHeight="1" x14ac:dyDescent="0.25">
      <c r="C37" s="123" t="s">
        <v>94</v>
      </c>
      <c r="D37" s="124"/>
      <c r="E37" s="124"/>
      <c r="F37" s="124"/>
      <c r="G37" s="124"/>
      <c r="H37" s="124"/>
      <c r="I37" s="124"/>
      <c r="J37" s="124"/>
      <c r="K37" s="124"/>
      <c r="L37" s="124"/>
      <c r="M37" s="125"/>
      <c r="AB37" s="13">
        <f>E31</f>
        <v>8.8226189233553072</v>
      </c>
      <c r="AC37" s="91">
        <v>0</v>
      </c>
      <c r="AD37" s="91">
        <f>0.85*$AD$36</f>
        <v>48.155282606065015</v>
      </c>
      <c r="AE37" s="91">
        <f t="shared" si="13"/>
        <v>27.287993476770172</v>
      </c>
      <c r="AF37" s="92"/>
      <c r="AG37" s="13">
        <f>J31</f>
        <v>15.435669792587525</v>
      </c>
      <c r="AH37" s="91">
        <v>0</v>
      </c>
      <c r="AI37" s="91">
        <f>0.85*AI36</f>
        <v>49.453007201473284</v>
      </c>
      <c r="AJ37" s="91">
        <f t="shared" si="15"/>
        <v>28.023370747501527</v>
      </c>
      <c r="AK37" s="92"/>
      <c r="AL37" s="16">
        <f>L5</f>
        <v>3.5</v>
      </c>
      <c r="AM37" s="91">
        <f>E5</f>
        <v>50</v>
      </c>
      <c r="AN37" s="91">
        <f t="shared" si="10"/>
        <v>28.333333333333332</v>
      </c>
      <c r="AO37" s="92"/>
      <c r="AV37" s="95">
        <f t="shared" si="11"/>
        <v>2</v>
      </c>
      <c r="AW37" s="95">
        <f t="shared" si="0"/>
        <v>2.5676747325896061</v>
      </c>
      <c r="AX37" s="95">
        <f t="shared" si="1"/>
        <v>3.5</v>
      </c>
      <c r="AY37" s="95">
        <f t="shared" si="2"/>
        <v>8.8226189233553072</v>
      </c>
      <c r="AZ37" s="95">
        <f t="shared" si="3"/>
        <v>15.435669792587525</v>
      </c>
      <c r="BA37" s="95">
        <f t="shared" si="4"/>
        <v>58.180008472321511</v>
      </c>
    </row>
    <row r="38" spans="3:53" ht="15.75" customHeight="1" thickBot="1" x14ac:dyDescent="0.3">
      <c r="C38" s="126"/>
      <c r="D38" s="127"/>
      <c r="E38" s="127"/>
      <c r="F38" s="127"/>
      <c r="G38" s="127"/>
      <c r="H38" s="127"/>
      <c r="I38" s="127"/>
      <c r="J38" s="127"/>
      <c r="K38" s="127"/>
      <c r="L38" s="127"/>
      <c r="M38" s="128"/>
      <c r="AF38" s="92"/>
      <c r="AK38" s="92"/>
      <c r="AO38" s="92"/>
    </row>
    <row r="39" spans="3:53" ht="15.75" x14ac:dyDescent="0.25">
      <c r="C39" s="119" t="s">
        <v>89</v>
      </c>
      <c r="D39" s="120"/>
      <c r="E39" s="77"/>
      <c r="F39" s="119" t="s">
        <v>93</v>
      </c>
      <c r="G39" s="120"/>
      <c r="H39" s="78"/>
      <c r="I39" s="119" t="s">
        <v>90</v>
      </c>
      <c r="J39" s="120"/>
      <c r="L39" s="148" t="s">
        <v>131</v>
      </c>
      <c r="M39" s="149"/>
      <c r="AF39" s="92"/>
      <c r="AK39" s="92"/>
      <c r="AO39" s="92"/>
    </row>
    <row r="40" spans="3:53" ht="15.75" x14ac:dyDescent="0.25">
      <c r="C40" s="121"/>
      <c r="D40" s="122"/>
      <c r="E40" s="77"/>
      <c r="F40" s="121"/>
      <c r="G40" s="122"/>
      <c r="H40" s="78"/>
      <c r="I40" s="121"/>
      <c r="J40" s="122"/>
      <c r="L40" s="150"/>
      <c r="M40" s="151"/>
      <c r="AF40" s="92"/>
      <c r="AK40" s="92"/>
      <c r="AO40" s="92"/>
    </row>
    <row r="41" spans="3:53" ht="18.75" thickBot="1" x14ac:dyDescent="0.3">
      <c r="C41" s="79" t="s">
        <v>34</v>
      </c>
      <c r="D41" s="80" t="s">
        <v>75</v>
      </c>
      <c r="F41" s="79" t="s">
        <v>34</v>
      </c>
      <c r="G41" s="80" t="s">
        <v>75</v>
      </c>
      <c r="I41" s="79" t="s">
        <v>34</v>
      </c>
      <c r="J41" s="80" t="s">
        <v>76</v>
      </c>
      <c r="L41" s="79" t="s">
        <v>34</v>
      </c>
      <c r="M41" s="80" t="s">
        <v>77</v>
      </c>
      <c r="AF41" s="92"/>
      <c r="AK41" s="92"/>
      <c r="AO41" s="92"/>
    </row>
    <row r="42" spans="3:53" ht="15.75" thickTop="1" x14ac:dyDescent="0.25">
      <c r="C42" s="81" t="s">
        <v>17</v>
      </c>
      <c r="D42" s="82" t="s">
        <v>79</v>
      </c>
      <c r="F42" s="81" t="s">
        <v>17</v>
      </c>
      <c r="G42" s="82" t="s">
        <v>79</v>
      </c>
      <c r="I42" s="81" t="s">
        <v>17</v>
      </c>
      <c r="J42" s="82" t="s">
        <v>79</v>
      </c>
      <c r="L42" s="81" t="s">
        <v>17</v>
      </c>
      <c r="M42" s="82" t="s">
        <v>15</v>
      </c>
      <c r="AF42" s="92"/>
      <c r="AK42" s="92"/>
      <c r="AO42" s="92"/>
    </row>
    <row r="43" spans="3:53" x14ac:dyDescent="0.25">
      <c r="C43" s="17">
        <f t="shared" ref="C43:C65" si="17">AB15/-1000</f>
        <v>1E-4</v>
      </c>
      <c r="D43" s="18">
        <f t="shared" ref="D43:D65" si="18">-1*AE15*1000</f>
        <v>100</v>
      </c>
      <c r="F43" s="17">
        <f t="shared" ref="F43:F65" si="19">AG15/-1000</f>
        <v>1E-4</v>
      </c>
      <c r="G43" s="18">
        <f t="shared" ref="G43:G65" si="20">-1*AJ15*1000</f>
        <v>100</v>
      </c>
      <c r="I43" s="17">
        <f t="shared" ref="I43:I65" si="21">AL15/-1000</f>
        <v>1E-4</v>
      </c>
      <c r="J43" s="18">
        <f t="shared" ref="J43:J65" si="22">-1*AN15*1000</f>
        <v>100</v>
      </c>
      <c r="L43" s="17">
        <f>AP24/1000</f>
        <v>-4.4999999999999998E-2</v>
      </c>
      <c r="M43" s="18">
        <f>AQ24*1000</f>
        <v>-434782.60869565216</v>
      </c>
      <c r="AF43" s="92"/>
      <c r="AK43" s="92"/>
      <c r="AO43" s="92"/>
    </row>
    <row r="44" spans="3:53" x14ac:dyDescent="0.25">
      <c r="C44" s="17">
        <f t="shared" si="17"/>
        <v>0</v>
      </c>
      <c r="D44" s="18">
        <f t="shared" si="18"/>
        <v>0</v>
      </c>
      <c r="F44" s="17">
        <f t="shared" si="19"/>
        <v>0</v>
      </c>
      <c r="G44" s="18">
        <f t="shared" si="20"/>
        <v>0</v>
      </c>
      <c r="I44" s="17">
        <f t="shared" si="21"/>
        <v>0</v>
      </c>
      <c r="J44" s="18">
        <f t="shared" si="22"/>
        <v>0</v>
      </c>
      <c r="L44" s="17">
        <f>AP25/1000</f>
        <v>-2.1739130434782609E-3</v>
      </c>
      <c r="M44" s="18">
        <f>AQ25*1000</f>
        <v>-434782.60869565216</v>
      </c>
      <c r="AF44" s="92"/>
      <c r="AK44" s="92"/>
      <c r="AO44" s="92"/>
    </row>
    <row r="45" spans="3:53" x14ac:dyDescent="0.25">
      <c r="C45" s="17">
        <f t="shared" si="17"/>
        <v>-1.2838373662948029E-4</v>
      </c>
      <c r="D45" s="18">
        <f t="shared" si="18"/>
        <v>-3130.093369394227</v>
      </c>
      <c r="F45" s="17">
        <f t="shared" si="19"/>
        <v>-1.818000847232151E-4</v>
      </c>
      <c r="G45" s="18">
        <f t="shared" si="20"/>
        <v>-3703.3526890452326</v>
      </c>
      <c r="I45" s="17">
        <f t="shared" si="21"/>
        <v>-1E-4</v>
      </c>
      <c r="J45" s="18">
        <f t="shared" si="22"/>
        <v>-2762.5000000000009</v>
      </c>
      <c r="L45" s="17">
        <f>AP26/1000</f>
        <v>0</v>
      </c>
      <c r="M45" s="18">
        <f>AQ26*1000</f>
        <v>0</v>
      </c>
      <c r="AF45" s="92"/>
      <c r="AK45" s="92"/>
      <c r="AO45" s="92"/>
    </row>
    <row r="46" spans="3:53" x14ac:dyDescent="0.25">
      <c r="C46" s="17">
        <f t="shared" si="17"/>
        <v>-2.5676747325896059E-4</v>
      </c>
      <c r="D46" s="18">
        <f t="shared" si="18"/>
        <v>-6099.6691301015662</v>
      </c>
      <c r="F46" s="17">
        <f t="shared" si="19"/>
        <v>-3.636001694464302E-4</v>
      </c>
      <c r="G46" s="18">
        <f t="shared" si="20"/>
        <v>-7127.4557023952448</v>
      </c>
      <c r="I46" s="17">
        <f t="shared" si="21"/>
        <v>-2.0000000000000001E-4</v>
      </c>
      <c r="J46" s="18">
        <f t="shared" si="22"/>
        <v>-5383.3333333333321</v>
      </c>
      <c r="L46" s="17">
        <f>AP27/1000</f>
        <v>2.1739130434782609E-3</v>
      </c>
      <c r="M46" s="18">
        <f>AQ27*1000</f>
        <v>434782.60869565216</v>
      </c>
      <c r="AF46" s="92"/>
      <c r="AK46" s="92"/>
      <c r="AL46" s="92"/>
      <c r="AM46" s="92"/>
      <c r="AN46" s="92"/>
      <c r="AO46" s="92"/>
    </row>
    <row r="47" spans="3:53" ht="15.75" thickBot="1" x14ac:dyDescent="0.3">
      <c r="C47" s="17">
        <f t="shared" si="17"/>
        <v>-3.8515120988844086E-4</v>
      </c>
      <c r="D47" s="18">
        <f t="shared" si="18"/>
        <v>-8908.7272821220322</v>
      </c>
      <c r="F47" s="17">
        <f t="shared" si="19"/>
        <v>-5.4540025416964532E-4</v>
      </c>
      <c r="G47" s="18">
        <f t="shared" si="20"/>
        <v>-10285.636549151359</v>
      </c>
      <c r="I47" s="17">
        <f t="shared" si="21"/>
        <v>-3.0000000000000003E-4</v>
      </c>
      <c r="J47" s="18">
        <f t="shared" si="22"/>
        <v>-7862.5000000000018</v>
      </c>
      <c r="L47" s="19">
        <f>AP28/1000</f>
        <v>4.4999999999999998E-2</v>
      </c>
      <c r="M47" s="20">
        <f>AQ28*1000</f>
        <v>434782.60869565216</v>
      </c>
    </row>
    <row r="48" spans="3:53" ht="15.75" thickBot="1" x14ac:dyDescent="0.3">
      <c r="C48" s="17">
        <f t="shared" si="17"/>
        <v>-5.1353494651792118E-4</v>
      </c>
      <c r="D48" s="18">
        <f t="shared" si="18"/>
        <v>-11557.267825455598</v>
      </c>
      <c r="F48" s="17">
        <f t="shared" si="19"/>
        <v>-7.2720033889286039E-4</v>
      </c>
      <c r="G48" s="18">
        <f t="shared" si="20"/>
        <v>-13190.38792513409</v>
      </c>
      <c r="I48" s="17">
        <f t="shared" si="21"/>
        <v>-4.0000000000000002E-4</v>
      </c>
      <c r="J48" s="18">
        <f t="shared" si="22"/>
        <v>-10199.999999999996</v>
      </c>
    </row>
    <row r="49" spans="3:13" x14ac:dyDescent="0.25">
      <c r="C49" s="17">
        <f t="shared" si="17"/>
        <v>-6.419186831474015E-4</v>
      </c>
      <c r="D49" s="18">
        <f t="shared" si="18"/>
        <v>-14045.290760102296</v>
      </c>
      <c r="F49" s="17">
        <f t="shared" si="19"/>
        <v>-9.0900042361607546E-4</v>
      </c>
      <c r="G49" s="18">
        <f t="shared" si="20"/>
        <v>-15853.432069254814</v>
      </c>
      <c r="I49" s="17">
        <f t="shared" si="21"/>
        <v>-5.0000000000000001E-4</v>
      </c>
      <c r="J49" s="18">
        <f t="shared" si="22"/>
        <v>-12395.833333333334</v>
      </c>
      <c r="L49" s="148" t="s">
        <v>132</v>
      </c>
      <c r="M49" s="149"/>
    </row>
    <row r="50" spans="3:13" x14ac:dyDescent="0.25">
      <c r="C50" s="17">
        <f t="shared" si="17"/>
        <v>-7.7030241977688182E-4</v>
      </c>
      <c r="D50" s="18">
        <f t="shared" si="18"/>
        <v>-16372.796086062106</v>
      </c>
      <c r="F50" s="17">
        <f t="shared" si="19"/>
        <v>-1.0908005083392906E-3</v>
      </c>
      <c r="G50" s="18">
        <f t="shared" si="20"/>
        <v>-18285.779256749916</v>
      </c>
      <c r="I50" s="17">
        <f t="shared" si="21"/>
        <v>-5.9999999999999995E-4</v>
      </c>
      <c r="J50" s="18">
        <f t="shared" si="22"/>
        <v>-14450.000000000002</v>
      </c>
      <c r="L50" s="150"/>
      <c r="M50" s="151"/>
    </row>
    <row r="51" spans="3:13" ht="18.75" thickBot="1" x14ac:dyDescent="0.3">
      <c r="C51" s="17">
        <f t="shared" si="17"/>
        <v>-8.9868615640636214E-4</v>
      </c>
      <c r="D51" s="18">
        <f t="shared" si="18"/>
        <v>-18539.783803335038</v>
      </c>
      <c r="F51" s="17">
        <f t="shared" si="19"/>
        <v>-1.2726005930625058E-3</v>
      </c>
      <c r="G51" s="18">
        <f t="shared" si="20"/>
        <v>-20497.781043139279</v>
      </c>
      <c r="I51" s="17">
        <f t="shared" si="21"/>
        <v>-6.9999999999999999E-4</v>
      </c>
      <c r="J51" s="18">
        <f t="shared" si="22"/>
        <v>-16362.499999999996</v>
      </c>
      <c r="L51" s="79" t="s">
        <v>34</v>
      </c>
      <c r="M51" s="80" t="s">
        <v>77</v>
      </c>
    </row>
    <row r="52" spans="3:13" ht="15.75" thickTop="1" x14ac:dyDescent="0.25">
      <c r="C52" s="17">
        <f t="shared" si="17"/>
        <v>-1.0270698930358424E-3</v>
      </c>
      <c r="D52" s="18">
        <f t="shared" si="18"/>
        <v>-20546.253911921067</v>
      </c>
      <c r="F52" s="17">
        <f t="shared" si="19"/>
        <v>-1.4544006777857208E-3</v>
      </c>
      <c r="G52" s="18">
        <f t="shared" si="20"/>
        <v>-22499.178800401438</v>
      </c>
      <c r="I52" s="17">
        <f t="shared" si="21"/>
        <v>-7.9999999999999993E-4</v>
      </c>
      <c r="J52" s="18">
        <f t="shared" si="22"/>
        <v>-18133.333333333328</v>
      </c>
      <c r="L52" s="81" t="s">
        <v>17</v>
      </c>
      <c r="M52" s="82" t="s">
        <v>15</v>
      </c>
    </row>
    <row r="53" spans="3:13" x14ac:dyDescent="0.25">
      <c r="C53" s="17">
        <f t="shared" si="17"/>
        <v>-1.1554536296653226E-3</v>
      </c>
      <c r="D53" s="18">
        <f t="shared" si="18"/>
        <v>-22392.206411820236</v>
      </c>
      <c r="F53" s="17">
        <f t="shared" si="19"/>
        <v>-1.636200762508936E-3</v>
      </c>
      <c r="G53" s="18">
        <f t="shared" si="20"/>
        <v>-24299.148023947069</v>
      </c>
      <c r="I53" s="17">
        <f t="shared" si="21"/>
        <v>-8.9999999999999987E-4</v>
      </c>
      <c r="J53" s="18">
        <f t="shared" si="22"/>
        <v>-19762.5</v>
      </c>
      <c r="L53" s="17">
        <f>AS24/1000</f>
        <v>-4.4999999999999998E-2</v>
      </c>
      <c r="M53" s="18">
        <f>AT24*1000</f>
        <v>-469565.21739130438</v>
      </c>
    </row>
    <row r="54" spans="3:13" x14ac:dyDescent="0.25">
      <c r="C54" s="17">
        <f t="shared" si="17"/>
        <v>-1.2838373662948028E-3</v>
      </c>
      <c r="D54" s="18">
        <f t="shared" si="18"/>
        <v>-24077.641303032506</v>
      </c>
      <c r="F54" s="17">
        <f t="shared" si="19"/>
        <v>-1.8180008472321509E-3</v>
      </c>
      <c r="G54" s="18">
        <f t="shared" si="20"/>
        <v>-25906.338834166876</v>
      </c>
      <c r="I54" s="17">
        <f t="shared" si="21"/>
        <v>-9.999999999999998E-4</v>
      </c>
      <c r="J54" s="18">
        <f t="shared" si="22"/>
        <v>-21250</v>
      </c>
      <c r="L54" s="17">
        <f t="shared" ref="L54:L57" si="23">AS25/1000</f>
        <v>-2.1739130434782613E-3</v>
      </c>
      <c r="M54" s="18">
        <f t="shared" ref="M54:M57" si="24">AT25*1000</f>
        <v>-434782.60869565216</v>
      </c>
    </row>
    <row r="55" spans="3:13" x14ac:dyDescent="0.25">
      <c r="C55" s="17">
        <f t="shared" si="17"/>
        <v>-1.412221102924283E-3</v>
      </c>
      <c r="D55" s="18">
        <f t="shared" si="18"/>
        <v>-25602.558585557897</v>
      </c>
      <c r="F55" s="17">
        <f t="shared" si="19"/>
        <v>-1.9998009319553661E-3</v>
      </c>
      <c r="G55" s="18">
        <f t="shared" si="20"/>
        <v>-27328.913048485068</v>
      </c>
      <c r="I55" s="17">
        <f t="shared" si="21"/>
        <v>-1.0999999999999998E-3</v>
      </c>
      <c r="J55" s="18">
        <f t="shared" si="22"/>
        <v>-22595.833333333328</v>
      </c>
      <c r="L55" s="17">
        <f t="shared" si="23"/>
        <v>0</v>
      </c>
      <c r="M55" s="18">
        <f t="shared" si="24"/>
        <v>0</v>
      </c>
    </row>
    <row r="56" spans="3:13" x14ac:dyDescent="0.25">
      <c r="C56" s="17">
        <f t="shared" si="17"/>
        <v>-1.5406048395537632E-3</v>
      </c>
      <c r="D56" s="18">
        <f t="shared" si="18"/>
        <v>-26966.958259396408</v>
      </c>
      <c r="F56" s="17">
        <f t="shared" si="19"/>
        <v>-2.1816010166785813E-3</v>
      </c>
      <c r="G56" s="18">
        <f t="shared" si="20"/>
        <v>-28574.578157997519</v>
      </c>
      <c r="I56" s="17">
        <f t="shared" si="21"/>
        <v>-1.1999999999999999E-3</v>
      </c>
      <c r="J56" s="18">
        <f t="shared" si="22"/>
        <v>-23799.999999999996</v>
      </c>
      <c r="L56" s="17">
        <f t="shared" si="23"/>
        <v>2.1739130434782613E-3</v>
      </c>
      <c r="M56" s="18">
        <f t="shared" si="24"/>
        <v>434782.60869565216</v>
      </c>
    </row>
    <row r="57" spans="3:13" ht="15.75" thickBot="1" x14ac:dyDescent="0.3">
      <c r="C57" s="17">
        <f t="shared" si="17"/>
        <v>-1.6689885761832434E-3</v>
      </c>
      <c r="D57" s="18">
        <f t="shared" si="18"/>
        <v>-28170.840324548029</v>
      </c>
      <c r="F57" s="17">
        <f t="shared" si="19"/>
        <v>-2.3634011014017965E-3</v>
      </c>
      <c r="G57" s="18">
        <f t="shared" si="20"/>
        <v>-29650.618506091134</v>
      </c>
      <c r="I57" s="17">
        <f t="shared" si="21"/>
        <v>-1.2999999999999999E-3</v>
      </c>
      <c r="J57" s="18">
        <f t="shared" si="22"/>
        <v>-24862.499999999996</v>
      </c>
      <c r="L57" s="19">
        <f t="shared" si="23"/>
        <v>4.4999999999999998E-2</v>
      </c>
      <c r="M57" s="20">
        <f t="shared" si="24"/>
        <v>469565.21739130438</v>
      </c>
    </row>
    <row r="58" spans="3:13" x14ac:dyDescent="0.25">
      <c r="C58" s="17">
        <f t="shared" si="17"/>
        <v>-1.7973723128127236E-3</v>
      </c>
      <c r="D58" s="18">
        <f t="shared" si="18"/>
        <v>-29214.20478101277</v>
      </c>
      <c r="F58" s="17">
        <f t="shared" si="19"/>
        <v>-2.5452011861250116E-3</v>
      </c>
      <c r="G58" s="18">
        <f t="shared" si="20"/>
        <v>-30563.923934228515</v>
      </c>
      <c r="I58" s="17">
        <f t="shared" si="21"/>
        <v>-1.4000000000000002E-3</v>
      </c>
      <c r="J58" s="18">
        <f t="shared" si="22"/>
        <v>-25783.333333333332</v>
      </c>
    </row>
    <row r="59" spans="3:13" x14ac:dyDescent="0.25">
      <c r="C59" s="17">
        <f t="shared" si="17"/>
        <v>-1.9257560494422038E-3</v>
      </c>
      <c r="D59" s="18">
        <f t="shared" si="18"/>
        <v>-30097.051628790636</v>
      </c>
      <c r="F59" s="17">
        <f t="shared" si="19"/>
        <v>-2.7270012708482264E-3</v>
      </c>
      <c r="G59" s="18">
        <f t="shared" si="20"/>
        <v>-31321.016131742159</v>
      </c>
      <c r="I59" s="17">
        <f t="shared" si="21"/>
        <v>-1.5000000000000002E-3</v>
      </c>
      <c r="J59" s="18">
        <f t="shared" si="22"/>
        <v>-26562.5</v>
      </c>
    </row>
    <row r="60" spans="3:13" x14ac:dyDescent="0.25">
      <c r="C60" s="17">
        <f t="shared" si="17"/>
        <v>-2.0541397860716843E-3</v>
      </c>
      <c r="D60" s="18">
        <f t="shared" si="18"/>
        <v>-30819.380867881606</v>
      </c>
      <c r="F60" s="17">
        <f t="shared" si="19"/>
        <v>-2.9088013555714416E-3</v>
      </c>
      <c r="G60" s="18">
        <f t="shared" si="20"/>
        <v>-31928.072901505115</v>
      </c>
      <c r="I60" s="17">
        <f t="shared" si="21"/>
        <v>-1.6000000000000003E-3</v>
      </c>
      <c r="J60" s="18">
        <f t="shared" si="22"/>
        <v>-27200.000000000004</v>
      </c>
    </row>
    <row r="61" spans="3:13" x14ac:dyDescent="0.25">
      <c r="C61" s="17">
        <f t="shared" si="17"/>
        <v>-2.1825235227011649E-3</v>
      </c>
      <c r="D61" s="18">
        <f t="shared" si="18"/>
        <v>-31381.192498285698</v>
      </c>
      <c r="F61" s="17">
        <f t="shared" si="19"/>
        <v>-3.0906014402946567E-3</v>
      </c>
      <c r="G61" s="18">
        <f t="shared" si="20"/>
        <v>-32390.950531292441</v>
      </c>
      <c r="I61" s="17">
        <f t="shared" si="21"/>
        <v>-1.7000000000000003E-3</v>
      </c>
      <c r="J61" s="18">
        <f t="shared" si="22"/>
        <v>-27695.833333333328</v>
      </c>
    </row>
    <row r="62" spans="3:13" x14ac:dyDescent="0.25">
      <c r="C62" s="17">
        <f t="shared" si="17"/>
        <v>-2.3109072593306451E-3</v>
      </c>
      <c r="D62" s="18">
        <f t="shared" si="18"/>
        <v>-31782.486520002909</v>
      </c>
      <c r="F62" s="17">
        <f t="shared" si="19"/>
        <v>-3.2724015250178719E-3</v>
      </c>
      <c r="G62" s="18">
        <f t="shared" si="20"/>
        <v>-32715.20444114416</v>
      </c>
      <c r="I62" s="17">
        <f t="shared" si="21"/>
        <v>-1.8000000000000004E-3</v>
      </c>
      <c r="J62" s="18">
        <f t="shared" si="22"/>
        <v>-28050</v>
      </c>
    </row>
    <row r="63" spans="3:13" x14ac:dyDescent="0.25">
      <c r="C63" s="17">
        <f t="shared" si="17"/>
        <v>-2.4392909959601258E-3</v>
      </c>
      <c r="D63" s="18">
        <f t="shared" si="18"/>
        <v>-32023.262933033238</v>
      </c>
      <c r="F63" s="17">
        <f t="shared" si="19"/>
        <v>-3.4542016097410867E-3</v>
      </c>
      <c r="G63" s="18">
        <f t="shared" si="20"/>
        <v>-32906.108259762848</v>
      </c>
      <c r="I63" s="17">
        <f t="shared" si="21"/>
        <v>-1.9000000000000006E-3</v>
      </c>
      <c r="J63" s="18">
        <f t="shared" si="22"/>
        <v>-28262.5</v>
      </c>
    </row>
    <row r="64" spans="3:13" x14ac:dyDescent="0.25">
      <c r="C64" s="17">
        <f t="shared" si="17"/>
        <v>-2.567674732589606E-3</v>
      </c>
      <c r="D64" s="18">
        <f t="shared" si="18"/>
        <v>-32103.521737376675</v>
      </c>
      <c r="F64" s="17">
        <f t="shared" si="19"/>
        <v>-3.6360016944643019E-3</v>
      </c>
      <c r="G64" s="18">
        <f t="shared" si="20"/>
        <v>-32968.671467648855</v>
      </c>
      <c r="I64" s="17">
        <f t="shared" si="21"/>
        <v>-2.0000000000000005E-3</v>
      </c>
      <c r="J64" s="18">
        <f t="shared" si="22"/>
        <v>-28333.333333333332</v>
      </c>
    </row>
    <row r="65" spans="3:10" ht="15.75" thickBot="1" x14ac:dyDescent="0.3">
      <c r="C65" s="19">
        <f t="shared" si="17"/>
        <v>-8.822618923355308E-3</v>
      </c>
      <c r="D65" s="20">
        <f t="shared" si="18"/>
        <v>-27287.993476770171</v>
      </c>
      <c r="F65" s="19">
        <f t="shared" si="19"/>
        <v>-1.5435669792587526E-2</v>
      </c>
      <c r="G65" s="20">
        <f t="shared" si="20"/>
        <v>-28023.370747501529</v>
      </c>
      <c r="I65" s="19">
        <f t="shared" si="21"/>
        <v>-3.5000000000000001E-3</v>
      </c>
      <c r="J65" s="20">
        <f t="shared" si="22"/>
        <v>-28333.333333333332</v>
      </c>
    </row>
  </sheetData>
  <sheetProtection selectLockedCells="1" selectUnlockedCells="1"/>
  <dataConsolidate/>
  <mergeCells count="32">
    <mergeCell ref="C39:D40"/>
    <mergeCell ref="F39:G40"/>
    <mergeCell ref="I39:J40"/>
    <mergeCell ref="L39:M40"/>
    <mergeCell ref="L49:M50"/>
    <mergeCell ref="C37:M38"/>
    <mergeCell ref="J16:J17"/>
    <mergeCell ref="AP21:AQ21"/>
    <mergeCell ref="AS21:AT21"/>
    <mergeCell ref="C23:E23"/>
    <mergeCell ref="F23:H23"/>
    <mergeCell ref="I23:K23"/>
    <mergeCell ref="D24:E26"/>
    <mergeCell ref="G24:H26"/>
    <mergeCell ref="J24:K26"/>
    <mergeCell ref="C28:F28"/>
    <mergeCell ref="H28:K28"/>
    <mergeCell ref="C8:C9"/>
    <mergeCell ref="AP10:AQ10"/>
    <mergeCell ref="AS10:AT10"/>
    <mergeCell ref="C12:H12"/>
    <mergeCell ref="AB12:AE12"/>
    <mergeCell ref="AG12:AJ12"/>
    <mergeCell ref="AL12:AN12"/>
    <mergeCell ref="AP12:AQ12"/>
    <mergeCell ref="AS12:AT12"/>
    <mergeCell ref="C1:D1"/>
    <mergeCell ref="C2:Q2"/>
    <mergeCell ref="C3:C4"/>
    <mergeCell ref="D3:D4"/>
    <mergeCell ref="C7:J7"/>
    <mergeCell ref="L7:N7"/>
  </mergeCells>
  <conditionalFormatting sqref="D24:E26">
    <cfRule type="containsText" dxfId="8" priority="3" operator="containsText" text="Pass">
      <formula>NOT(ISERROR(SEARCH("Pass",D24)))</formula>
    </cfRule>
  </conditionalFormatting>
  <conditionalFormatting sqref="G24:H26">
    <cfRule type="containsText" dxfId="7" priority="2" operator="containsText" text="Pass">
      <formula>NOT(ISERROR(SEARCH("Pass",G24)))</formula>
    </cfRule>
  </conditionalFormatting>
  <conditionalFormatting sqref="J24:K26">
    <cfRule type="containsText" dxfId="6"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7">
        <x14:dataValidation type="list" allowBlank="1" showInputMessage="1" showErrorMessage="1" xr:uid="{91F9F75C-CD69-4C18-A36D-95E72D9AAAD7}">
          <x14:formula1>
            <xm:f>Data!$G$23:$G$24</xm:f>
          </x14:formula1>
          <xm:sqref>H15</xm:sqref>
        </x14:dataValidation>
        <x14:dataValidation type="list" showInputMessage="1" showErrorMessage="1" xr:uid="{65A5CD32-F1F4-45A8-9B6F-09727CF2AFEA}">
          <x14:formula1>
            <xm:f>Data!$F$23:$F$24</xm:f>
          </x14:formula1>
          <xm:sqref>J18</xm:sqref>
        </x14:dataValidation>
        <x14:dataValidation type="list" allowBlank="1" showInputMessage="1" showErrorMessage="1" xr:uid="{F5D52DA1-A4C3-4088-A0AF-56C5025074B0}">
          <x14:formula1>
            <xm:f>Data!$E$23:$E$29</xm:f>
          </x14:formula1>
          <xm:sqref>D21</xm:sqref>
        </x14:dataValidation>
        <x14:dataValidation type="list" allowBlank="1" showInputMessage="1" showErrorMessage="1" xr:uid="{7586FC13-97B1-4C2E-9847-88D858F70467}">
          <x14:formula1>
            <xm:f>Data!$D$23:$D$29</xm:f>
          </x14:formula1>
          <xm:sqref>D18:E18</xm:sqref>
        </x14:dataValidation>
        <x14:dataValidation type="list" allowBlank="1" showInputMessage="1" showErrorMessage="1" xr:uid="{3371DFF3-DFE3-4CDF-B4C2-CE0BF5C34E4A}">
          <x14:formula1>
            <xm:f>Data!$C$23:$C$33</xm:f>
          </x14:formula1>
          <xm:sqref>C18 C21</xm:sqref>
        </x14:dataValidation>
        <x14:dataValidation type="list" allowBlank="1" showInputMessage="1" showErrorMessage="1" xr:uid="{8EBD7FC7-D135-4797-B540-92518AEB6FB4}">
          <x14:formula1>
            <xm:f>Data!$C$5:$C$13</xm:f>
          </x14:formula1>
          <xm:sqref>C5</xm:sqref>
        </x14:dataValidation>
        <x14:dataValidation type="list" allowBlank="1" showInputMessage="1" showErrorMessage="1" xr:uid="{76ED288C-6AB7-4BB8-A570-7F8E67E2AC43}">
          <x14:formula1>
            <xm:f>Data!$C$18:$C$20</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00DA6-B5E4-4B26-83F4-7B68D781C5F8}">
  <dimension ref="C1:BA65"/>
  <sheetViews>
    <sheetView topLeftCell="Q13" zoomScaleNormal="100" workbookViewId="0">
      <selection activeCell="C16" sqref="C16"/>
    </sheetView>
  </sheetViews>
  <sheetFormatPr defaultRowHeight="15" x14ac:dyDescent="0.25"/>
  <cols>
    <col min="1" max="2" width="9.7109375" style="95" customWidth="1"/>
    <col min="3" max="17" width="12.7109375" style="95" customWidth="1"/>
    <col min="18" max="46" width="10.7109375" style="95" customWidth="1"/>
    <col min="47" max="16384" width="9.140625" style="95"/>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VLOOKUP('WR03-05 CW'!C5,Data!C5:P13,11,FALSE)</f>
        <v>2</v>
      </c>
      <c r="N5" s="8">
        <f>VLOOKUP(C5,Data!C5:P13,12,FALSE)</f>
        <v>1.75</v>
      </c>
      <c r="O5" s="8">
        <f>VLOOKUP(C5,Data!C5:P13,13,FALSE)</f>
        <v>3.5</v>
      </c>
      <c r="P5" s="8">
        <f>VLOOKUP(C5,Data!C5:P13,14,FALSE)</f>
        <v>2.4324324324324325</v>
      </c>
      <c r="Q5" s="41">
        <f>1.05*H5*I31/H31</f>
        <v>2.4292471801627014</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91" t="s">
        <v>44</v>
      </c>
      <c r="E8" s="91" t="s">
        <v>45</v>
      </c>
      <c r="F8" s="91"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93"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92"/>
      <c r="AG14" s="38" t="s">
        <v>17</v>
      </c>
      <c r="AH14" s="48" t="s">
        <v>14</v>
      </c>
      <c r="AI14" s="48" t="s">
        <v>15</v>
      </c>
      <c r="AJ14" s="48" t="s">
        <v>15</v>
      </c>
      <c r="AK14" s="92"/>
      <c r="AL14" s="38" t="s">
        <v>17</v>
      </c>
      <c r="AM14" s="48" t="s">
        <v>15</v>
      </c>
      <c r="AN14" s="48" t="s">
        <v>15</v>
      </c>
      <c r="AO14" s="92"/>
      <c r="AP14" s="38" t="s">
        <v>17</v>
      </c>
      <c r="AQ14" s="48" t="s">
        <v>15</v>
      </c>
      <c r="AR14" s="92"/>
      <c r="AS14" s="38" t="s">
        <v>17</v>
      </c>
      <c r="AT14" s="48" t="s">
        <v>15</v>
      </c>
    </row>
    <row r="15" spans="3:53" ht="16.5" thickTop="1" thickBot="1" x14ac:dyDescent="0.3">
      <c r="C15" s="61">
        <v>1220</v>
      </c>
      <c r="D15" s="62">
        <v>500</v>
      </c>
      <c r="E15" s="62">
        <v>35</v>
      </c>
      <c r="F15" s="22">
        <f>C15-2*E15-C21</f>
        <v>1142</v>
      </c>
      <c r="G15" s="22">
        <f>D15-2*E15-C21</f>
        <v>422</v>
      </c>
      <c r="H15" s="63" t="s">
        <v>108</v>
      </c>
      <c r="AB15" s="7">
        <v>-0.1</v>
      </c>
      <c r="AC15" s="7">
        <v>0</v>
      </c>
      <c r="AD15" s="7">
        <v>-0.1</v>
      </c>
      <c r="AE15" s="7">
        <f>-0.1</f>
        <v>-0.1</v>
      </c>
      <c r="AF15" s="92"/>
      <c r="AG15" s="7">
        <v>-0.1</v>
      </c>
      <c r="AH15" s="7">
        <v>0</v>
      </c>
      <c r="AI15" s="7">
        <v>-0.1</v>
      </c>
      <c r="AJ15" s="7">
        <f>-0.1</f>
        <v>-0.1</v>
      </c>
      <c r="AK15" s="92"/>
      <c r="AL15" s="7">
        <v>-0.1</v>
      </c>
      <c r="AM15" s="7">
        <v>-0.1</v>
      </c>
      <c r="AN15" s="7">
        <f>-0.1</f>
        <v>-0.1</v>
      </c>
      <c r="AO15" s="92"/>
      <c r="AP15" s="7">
        <f>-1*J10</f>
        <v>-45</v>
      </c>
      <c r="AQ15" s="7">
        <f>-D10</f>
        <v>-500</v>
      </c>
      <c r="AR15" s="92"/>
      <c r="AS15" s="7">
        <f>-1*J10</f>
        <v>-45</v>
      </c>
      <c r="AT15" s="7">
        <f>-1*E10</f>
        <v>-540</v>
      </c>
      <c r="AV15" s="95">
        <f>$K$5</f>
        <v>2</v>
      </c>
      <c r="AW15" s="95">
        <f t="shared" ref="AW15:AW37" si="0">$AB$36</f>
        <v>2.6636793319959211</v>
      </c>
      <c r="AX15" s="95">
        <f t="shared" ref="AX15:AX37" si="1">$AL$37</f>
        <v>3.5</v>
      </c>
      <c r="AY15" s="95">
        <f t="shared" ref="AY15:AY37" si="2">$AB$37</f>
        <v>9.6621432084423251</v>
      </c>
      <c r="AZ15" s="95">
        <f t="shared" ref="AZ15:AZ37" si="3">$AG$37</f>
        <v>16.994157207968332</v>
      </c>
      <c r="BA15" s="95">
        <f t="shared" ref="BA15:BA37" si="4">$AI$36</f>
        <v>59.278019245676319</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AB16" s="91">
        <v>0</v>
      </c>
      <c r="AC16" s="91">
        <f t="shared" ref="AC16:AC36" si="5">AB16/$D$31</f>
        <v>0</v>
      </c>
      <c r="AD16" s="91">
        <f t="shared" ref="AD16:AD36" si="6">IF(AB16&lt;=$AB$36,$C$31*(1-(1-AB16/$AB$36)^$M$5),$C$31)</f>
        <v>0</v>
      </c>
      <c r="AE16" s="91">
        <f>AD16*$N$10/$L$10</f>
        <v>0</v>
      </c>
      <c r="AF16" s="92"/>
      <c r="AG16" s="91">
        <v>0</v>
      </c>
      <c r="AH16" s="91">
        <f t="shared" ref="AH16:AH36" si="7">AG16/$I$31</f>
        <v>0</v>
      </c>
      <c r="AI16" s="91">
        <f t="shared" ref="AI16:AI36" si="8">IF(AG16&lt;=$AG$36,$H$31*AH16*($Q$5-AH16)/(1+($Q$5-2)*AH16))</f>
        <v>0</v>
      </c>
      <c r="AJ16" s="91">
        <f>AI16*$N$10/$L$10</f>
        <v>0</v>
      </c>
      <c r="AK16" s="92"/>
      <c r="AL16" s="91">
        <v>0</v>
      </c>
      <c r="AM16" s="91">
        <f t="shared" ref="AM16:AM36" si="9">$E$5*(1-(1-AL16/$K$5)^$M$5)</f>
        <v>0</v>
      </c>
      <c r="AN16" s="91">
        <f t="shared" ref="AN16:AN37" si="10">AM16*$N$10/$L$10</f>
        <v>0</v>
      </c>
      <c r="AO16" s="92"/>
      <c r="AP16" s="91">
        <f>-1*D10/G10</f>
        <v>-2.5</v>
      </c>
      <c r="AQ16" s="91">
        <f>AQ15</f>
        <v>-500</v>
      </c>
      <c r="AR16" s="92"/>
      <c r="AS16" s="91">
        <f>-1*H10</f>
        <v>-2.5</v>
      </c>
      <c r="AT16" s="91">
        <f>-1*D10</f>
        <v>-500</v>
      </c>
      <c r="AV16" s="95">
        <f t="shared" ref="AV16:AV37" si="11">$K$5</f>
        <v>2</v>
      </c>
      <c r="AW16" s="95">
        <f t="shared" si="0"/>
        <v>2.6636793319959211</v>
      </c>
      <c r="AX16" s="95">
        <f t="shared" si="1"/>
        <v>3.5</v>
      </c>
      <c r="AY16" s="95">
        <f t="shared" si="2"/>
        <v>9.6621432084423251</v>
      </c>
      <c r="AZ16" s="95">
        <f t="shared" si="3"/>
        <v>16.994157207968332</v>
      </c>
      <c r="BA16" s="95">
        <f t="shared" si="4"/>
        <v>59.278019245676319</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AB17" s="91">
        <f t="shared" ref="AB17:AB36" si="12">AB16+$D$31/20</f>
        <v>0.13318396659979609</v>
      </c>
      <c r="AC17" s="91">
        <f t="shared" si="5"/>
        <v>4.9999999999999996E-2</v>
      </c>
      <c r="AD17" s="91">
        <f t="shared" si="6"/>
        <v>5.6260112035289103</v>
      </c>
      <c r="AE17" s="91">
        <f t="shared" ref="AE17:AE37" si="13">AD17*$N$10/$L$10</f>
        <v>3.1880730153330492</v>
      </c>
      <c r="AF17" s="92"/>
      <c r="AG17" s="91">
        <f t="shared" ref="AG17:AG36" si="14">AG16+$I$31/20</f>
        <v>0.19278019245676317</v>
      </c>
      <c r="AH17" s="91">
        <f t="shared" si="7"/>
        <v>0.05</v>
      </c>
      <c r="AI17" s="91">
        <f t="shared" si="8"/>
        <v>6.9036836694039394</v>
      </c>
      <c r="AJ17" s="91">
        <f t="shared" ref="AJ17:AJ37" si="15">AI17*$N$10/$L$10</f>
        <v>3.9120874126622325</v>
      </c>
      <c r="AK17" s="92"/>
      <c r="AL17" s="91">
        <f t="shared" ref="AL17:AL36" si="16">AL16+$K$5/20</f>
        <v>0.1</v>
      </c>
      <c r="AM17" s="91">
        <f t="shared" si="9"/>
        <v>4.8750000000000018</v>
      </c>
      <c r="AN17" s="91">
        <f t="shared" si="10"/>
        <v>2.7625000000000011</v>
      </c>
      <c r="AO17" s="92"/>
      <c r="AP17" s="91">
        <f>0</f>
        <v>0</v>
      </c>
      <c r="AQ17" s="91">
        <f>0</f>
        <v>0</v>
      </c>
      <c r="AR17" s="92"/>
      <c r="AS17" s="91">
        <f>0</f>
        <v>0</v>
      </c>
      <c r="AT17" s="91">
        <f>0</f>
        <v>0</v>
      </c>
      <c r="AV17" s="95">
        <f t="shared" si="11"/>
        <v>2</v>
      </c>
      <c r="AW17" s="95">
        <f t="shared" si="0"/>
        <v>2.6636793319959211</v>
      </c>
      <c r="AX17" s="95">
        <f t="shared" si="1"/>
        <v>3.5</v>
      </c>
      <c r="AY17" s="95">
        <f t="shared" si="2"/>
        <v>9.6621432084423251</v>
      </c>
      <c r="AZ17" s="95">
        <f t="shared" si="3"/>
        <v>16.994157207968332</v>
      </c>
      <c r="BA17" s="95">
        <f t="shared" si="4"/>
        <v>59.278019245676319</v>
      </c>
    </row>
    <row r="18" spans="3:53" ht="16.5" thickTop="1" thickBot="1" x14ac:dyDescent="0.3">
      <c r="C18" s="61">
        <v>16</v>
      </c>
      <c r="D18" s="62">
        <v>200</v>
      </c>
      <c r="E18" s="62">
        <v>200</v>
      </c>
      <c r="F18" s="21">
        <f>IF(ROUND(F15/D18,0)*D18&lt;F15-C18-C21,ROUND(F15/D18,0)+1,ROUND(F15/D18,0))</f>
        <v>6</v>
      </c>
      <c r="G18" s="21">
        <f>IF(ROUND(G15/E18,0)*E18&lt;G15-C18-C21,ROUND(G15/E18,0)+1,ROUND(G15/E18,0))</f>
        <v>2</v>
      </c>
      <c r="H18" s="22">
        <f>(F15-C21-C18)/F18</f>
        <v>186.33333333333334</v>
      </c>
      <c r="I18" s="22">
        <f>(G15-C21-C18)/G18</f>
        <v>199</v>
      </c>
      <c r="J18" s="67" t="s">
        <v>98</v>
      </c>
      <c r="K18" s="22">
        <f>IF(J18="Min",IF(D18=200,H18,IF(2*H18&lt;=200,2*H18,H18)),IF(J18="Max",H18))</f>
        <v>186.33333333333334</v>
      </c>
      <c r="L18" s="22">
        <f>IF(J18="Min",IF(E18=200,I18,IF(2*I18&lt;=200,2*I18,I18)),IF(J18="Max",I18))</f>
        <v>199</v>
      </c>
      <c r="M18" s="21">
        <f>IF(K18=H18,F18,F18/2)</f>
        <v>6</v>
      </c>
      <c r="N18" s="83">
        <f>IF(L18=I18,G18,G18/2)</f>
        <v>2</v>
      </c>
      <c r="O18" s="27"/>
      <c r="P18" s="27"/>
      <c r="Q18" s="27"/>
      <c r="R18" s="27"/>
      <c r="S18" s="27"/>
      <c r="T18" s="27"/>
      <c r="U18" s="27"/>
      <c r="V18" s="27"/>
      <c r="AB18" s="91">
        <f t="shared" si="12"/>
        <v>0.26636793319959218</v>
      </c>
      <c r="AC18" s="91">
        <f t="shared" si="5"/>
        <v>9.9999999999999992E-2</v>
      </c>
      <c r="AD18" s="91">
        <f t="shared" si="6"/>
        <v>10.96350901200505</v>
      </c>
      <c r="AE18" s="91">
        <f t="shared" si="13"/>
        <v>6.2126551068028606</v>
      </c>
      <c r="AF18" s="92"/>
      <c r="AG18" s="91">
        <f t="shared" si="14"/>
        <v>0.38556038491352634</v>
      </c>
      <c r="AH18" s="91">
        <f t="shared" si="7"/>
        <v>0.1</v>
      </c>
      <c r="AI18" s="91">
        <f t="shared" si="8"/>
        <v>13.239034111325751</v>
      </c>
      <c r="AJ18" s="91">
        <f t="shared" si="15"/>
        <v>7.5021193297512587</v>
      </c>
      <c r="AK18" s="92"/>
      <c r="AL18" s="91">
        <f t="shared" si="16"/>
        <v>0.2</v>
      </c>
      <c r="AM18" s="91">
        <f t="shared" si="9"/>
        <v>9.4999999999999964</v>
      </c>
      <c r="AN18" s="91">
        <f t="shared" si="10"/>
        <v>5.383333333333332</v>
      </c>
      <c r="AO18" s="92"/>
      <c r="AP18" s="91">
        <f>-1*AP16</f>
        <v>2.5</v>
      </c>
      <c r="AQ18" s="91">
        <f>-1*AQ16</f>
        <v>500</v>
      </c>
      <c r="AR18" s="92"/>
      <c r="AS18" s="91">
        <f>H10</f>
        <v>2.5</v>
      </c>
      <c r="AT18" s="91">
        <f>D10</f>
        <v>500</v>
      </c>
      <c r="AV18" s="95">
        <f t="shared" si="11"/>
        <v>2</v>
      </c>
      <c r="AW18" s="95">
        <f t="shared" si="0"/>
        <v>2.6636793319959211</v>
      </c>
      <c r="AX18" s="95">
        <f t="shared" si="1"/>
        <v>3.5</v>
      </c>
      <c r="AY18" s="95">
        <f t="shared" si="2"/>
        <v>9.6621432084423251</v>
      </c>
      <c r="AZ18" s="95">
        <f t="shared" si="3"/>
        <v>16.994157207968332</v>
      </c>
      <c r="BA18" s="95">
        <f t="shared" si="4"/>
        <v>59.278019245676319</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AB19" s="91">
        <f t="shared" si="12"/>
        <v>0.39955189979938827</v>
      </c>
      <c r="AC19" s="91">
        <f t="shared" si="5"/>
        <v>0.15</v>
      </c>
      <c r="AD19" s="91">
        <f t="shared" si="6"/>
        <v>16.012493425428435</v>
      </c>
      <c r="AE19" s="91">
        <f t="shared" si="13"/>
        <v>9.0737462744094461</v>
      </c>
      <c r="AF19" s="92"/>
      <c r="AG19" s="91">
        <f t="shared" si="14"/>
        <v>0.57834057737028954</v>
      </c>
      <c r="AH19" s="91">
        <f t="shared" si="7"/>
        <v>0.15000000000000002</v>
      </c>
      <c r="AI19" s="91">
        <f t="shared" si="8"/>
        <v>19.040431032249401</v>
      </c>
      <c r="AJ19" s="91">
        <f t="shared" si="15"/>
        <v>10.789577584941327</v>
      </c>
      <c r="AK19" s="92"/>
      <c r="AL19" s="91">
        <f>AL18+$K$5/20</f>
        <v>0.30000000000000004</v>
      </c>
      <c r="AM19" s="91">
        <f t="shared" si="9"/>
        <v>13.875000000000004</v>
      </c>
      <c r="AN19" s="91">
        <f t="shared" si="10"/>
        <v>7.8625000000000016</v>
      </c>
      <c r="AO19" s="92"/>
      <c r="AP19" s="91">
        <f>-1*AP15</f>
        <v>45</v>
      </c>
      <c r="AQ19" s="91">
        <f>AQ18</f>
        <v>500</v>
      </c>
      <c r="AR19" s="92"/>
      <c r="AS19" s="91">
        <f>J10</f>
        <v>45</v>
      </c>
      <c r="AT19" s="91">
        <f>E10</f>
        <v>540</v>
      </c>
      <c r="AV19" s="95">
        <f t="shared" si="11"/>
        <v>2</v>
      </c>
      <c r="AW19" s="95">
        <f t="shared" si="0"/>
        <v>2.6636793319959211</v>
      </c>
      <c r="AX19" s="95">
        <f t="shared" si="1"/>
        <v>3.5</v>
      </c>
      <c r="AY19" s="95">
        <f t="shared" si="2"/>
        <v>9.6621432084423251</v>
      </c>
      <c r="AZ19" s="95">
        <f t="shared" si="3"/>
        <v>16.994157207968332</v>
      </c>
      <c r="BA19" s="95">
        <f t="shared" si="4"/>
        <v>59.278019245676319</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AB20" s="91">
        <f t="shared" si="12"/>
        <v>0.53273586639918435</v>
      </c>
      <c r="AC20" s="91">
        <f t="shared" si="5"/>
        <v>0.19999999999999998</v>
      </c>
      <c r="AD20" s="91">
        <f t="shared" si="6"/>
        <v>20.772964443799051</v>
      </c>
      <c r="AE20" s="91">
        <f t="shared" si="13"/>
        <v>11.771346518152795</v>
      </c>
      <c r="AF20" s="92"/>
      <c r="AG20" s="91">
        <f t="shared" si="14"/>
        <v>0.77112076982705269</v>
      </c>
      <c r="AH20" s="91">
        <f t="shared" si="7"/>
        <v>0.2</v>
      </c>
      <c r="AI20" s="91">
        <f t="shared" si="8"/>
        <v>24.339536010054008</v>
      </c>
      <c r="AJ20" s="91">
        <f t="shared" si="15"/>
        <v>13.792403739030604</v>
      </c>
      <c r="AK20" s="92"/>
      <c r="AL20" s="91">
        <f t="shared" si="16"/>
        <v>0.4</v>
      </c>
      <c r="AM20" s="91">
        <f t="shared" si="9"/>
        <v>17.999999999999993</v>
      </c>
      <c r="AN20" s="91">
        <f t="shared" si="10"/>
        <v>10.199999999999996</v>
      </c>
      <c r="AO20" s="92"/>
      <c r="AV20" s="95">
        <f t="shared" si="11"/>
        <v>2</v>
      </c>
      <c r="AW20" s="95">
        <f t="shared" si="0"/>
        <v>2.6636793319959211</v>
      </c>
      <c r="AX20" s="95">
        <f t="shared" si="1"/>
        <v>3.5</v>
      </c>
      <c r="AY20" s="95">
        <f t="shared" si="2"/>
        <v>9.6621432084423251</v>
      </c>
      <c r="AZ20" s="95">
        <f t="shared" si="3"/>
        <v>16.994157207968332</v>
      </c>
      <c r="BA20" s="95">
        <f t="shared" si="4"/>
        <v>59.278019245676319</v>
      </c>
    </row>
    <row r="21" spans="3:53" ht="16.5" thickTop="1" thickBot="1" x14ac:dyDescent="0.3">
      <c r="C21" s="61">
        <v>8</v>
      </c>
      <c r="D21" s="62">
        <v>100</v>
      </c>
      <c r="E21" s="22">
        <f>(N18+1)*C21^2*PI()/4</f>
        <v>150.79644737231007</v>
      </c>
      <c r="F21" s="22">
        <f>(M18+1)*C21^2*PI()/4</f>
        <v>351.85837720205683</v>
      </c>
      <c r="G21" s="22">
        <f>E21/(D21*G15)*100</f>
        <v>0.35733755301495279</v>
      </c>
      <c r="H21" s="22">
        <f>F21/(D21*F15)*100</f>
        <v>0.30810716042211628</v>
      </c>
      <c r="I21" s="22">
        <f>1-(M18*2*(K18^2)+N18*2*(L18^2))/(6*F15*G15)</f>
        <v>0.80112862424596221</v>
      </c>
      <c r="J21" s="22">
        <f>(1-D21/(2*F15))*(1-D21/(2*G15))</f>
        <v>0.84292129049393683</v>
      </c>
      <c r="K21" s="22">
        <f>I21*J21</f>
        <v>0.67528837380103868</v>
      </c>
      <c r="L21" s="22">
        <f>2*MIN(G21,H21)</f>
        <v>0.61621432084423255</v>
      </c>
      <c r="M21" s="22">
        <f>L21/100*D10/E5</f>
        <v>6.162143208442325E-2</v>
      </c>
      <c r="N21" s="23">
        <f>0.5*M21*E5</f>
        <v>1.5405358021105813</v>
      </c>
      <c r="O21" s="27"/>
      <c r="P21" s="27"/>
      <c r="Q21" s="27"/>
      <c r="R21" s="27"/>
      <c r="S21" s="27"/>
      <c r="T21" s="27"/>
      <c r="U21" s="27"/>
      <c r="V21" s="27"/>
      <c r="AB21" s="91">
        <f t="shared" si="12"/>
        <v>0.66591983299898039</v>
      </c>
      <c r="AC21" s="91">
        <f t="shared" si="5"/>
        <v>0.24999999999999994</v>
      </c>
      <c r="AD21" s="91">
        <f t="shared" si="6"/>
        <v>25.244922067116896</v>
      </c>
      <c r="AE21" s="91">
        <f t="shared" si="13"/>
        <v>14.305455838032907</v>
      </c>
      <c r="AF21" s="92"/>
      <c r="AG21" s="91">
        <f t="shared" si="14"/>
        <v>0.96390096228381583</v>
      </c>
      <c r="AH21" s="91">
        <f t="shared" si="7"/>
        <v>0.25</v>
      </c>
      <c r="AI21" s="91">
        <f t="shared" si="8"/>
        <v>29.165555913279423</v>
      </c>
      <c r="AJ21" s="91">
        <f t="shared" si="15"/>
        <v>16.52714835085834</v>
      </c>
      <c r="AK21" s="92"/>
      <c r="AL21" s="91">
        <f t="shared" si="16"/>
        <v>0.5</v>
      </c>
      <c r="AM21" s="91">
        <f t="shared" si="9"/>
        <v>21.875</v>
      </c>
      <c r="AN21" s="91">
        <f t="shared" si="10"/>
        <v>12.395833333333334</v>
      </c>
      <c r="AO21" s="92"/>
      <c r="AP21" s="133" t="s">
        <v>70</v>
      </c>
      <c r="AQ21" s="133"/>
      <c r="AR21" s="53"/>
      <c r="AS21" s="133" t="s">
        <v>70</v>
      </c>
      <c r="AT21" s="133"/>
      <c r="AV21" s="95">
        <f t="shared" si="11"/>
        <v>2</v>
      </c>
      <c r="AW21" s="95">
        <f t="shared" si="0"/>
        <v>2.6636793319959211</v>
      </c>
      <c r="AX21" s="95">
        <f t="shared" si="1"/>
        <v>3.5</v>
      </c>
      <c r="AY21" s="95">
        <f t="shared" si="2"/>
        <v>9.6621432084423251</v>
      </c>
      <c r="AZ21" s="95">
        <f t="shared" si="3"/>
        <v>16.994157207968332</v>
      </c>
      <c r="BA21" s="95">
        <f t="shared" si="4"/>
        <v>59.278019245676319</v>
      </c>
    </row>
    <row r="22" spans="3:53" ht="18.75" thickBot="1" x14ac:dyDescent="0.3">
      <c r="AB22" s="91">
        <f t="shared" si="12"/>
        <v>0.79910379959877642</v>
      </c>
      <c r="AC22" s="91">
        <f t="shared" si="5"/>
        <v>0.29999999999999993</v>
      </c>
      <c r="AD22" s="91">
        <f t="shared" si="6"/>
        <v>29.428366295381984</v>
      </c>
      <c r="AE22" s="91">
        <f t="shared" si="13"/>
        <v>16.676074234049789</v>
      </c>
      <c r="AF22" s="92"/>
      <c r="AG22" s="91">
        <f t="shared" si="14"/>
        <v>1.1566811547405791</v>
      </c>
      <c r="AH22" s="91">
        <f t="shared" si="7"/>
        <v>0.30000000000000004</v>
      </c>
      <c r="AI22" s="91">
        <f t="shared" si="8"/>
        <v>33.545476268682016</v>
      </c>
      <c r="AJ22" s="91">
        <f t="shared" si="15"/>
        <v>19.009103218919808</v>
      </c>
      <c r="AK22" s="92"/>
      <c r="AL22" s="91">
        <f t="shared" si="16"/>
        <v>0.6</v>
      </c>
      <c r="AM22" s="91">
        <f t="shared" si="9"/>
        <v>25.5</v>
      </c>
      <c r="AN22" s="91">
        <f t="shared" si="10"/>
        <v>14.450000000000001</v>
      </c>
      <c r="AO22" s="92"/>
      <c r="AP22" s="45" t="s">
        <v>34</v>
      </c>
      <c r="AQ22" s="45" t="s">
        <v>72</v>
      </c>
      <c r="AR22" s="57"/>
      <c r="AS22" s="45" t="s">
        <v>34</v>
      </c>
      <c r="AT22" s="45" t="s">
        <v>72</v>
      </c>
      <c r="AV22" s="95">
        <f t="shared" si="11"/>
        <v>2</v>
      </c>
      <c r="AW22" s="95">
        <f t="shared" si="0"/>
        <v>2.6636793319959211</v>
      </c>
      <c r="AX22" s="95">
        <f t="shared" si="1"/>
        <v>3.5</v>
      </c>
      <c r="AY22" s="95">
        <f t="shared" si="2"/>
        <v>9.6621432084423251</v>
      </c>
      <c r="AZ22" s="95">
        <f t="shared" si="3"/>
        <v>16.994157207968332</v>
      </c>
      <c r="BA22" s="95">
        <f t="shared" si="4"/>
        <v>59.278019245676319</v>
      </c>
    </row>
    <row r="23" spans="3:53" ht="15.75" thickBot="1" x14ac:dyDescent="0.3">
      <c r="C23" s="146" t="s">
        <v>110</v>
      </c>
      <c r="D23" s="140"/>
      <c r="E23" s="141"/>
      <c r="F23" s="139" t="s">
        <v>111</v>
      </c>
      <c r="G23" s="140"/>
      <c r="H23" s="141"/>
      <c r="I23" s="139" t="s">
        <v>112</v>
      </c>
      <c r="J23" s="140"/>
      <c r="K23" s="141"/>
      <c r="AB23" s="91">
        <f t="shared" si="12"/>
        <v>0.93228776619857245</v>
      </c>
      <c r="AC23" s="91">
        <f t="shared" si="5"/>
        <v>0.34999999999999992</v>
      </c>
      <c r="AD23" s="91">
        <f t="shared" si="6"/>
        <v>33.323297128594312</v>
      </c>
      <c r="AE23" s="91">
        <f t="shared" si="13"/>
        <v>18.883201706203444</v>
      </c>
      <c r="AF23" s="92"/>
      <c r="AG23" s="91">
        <f t="shared" si="14"/>
        <v>1.3494613471973422</v>
      </c>
      <c r="AH23" s="91">
        <f t="shared" si="7"/>
        <v>0.35000000000000003</v>
      </c>
      <c r="AI23" s="91">
        <f t="shared" si="8"/>
        <v>37.504268502242638</v>
      </c>
      <c r="AJ23" s="91">
        <f t="shared" si="15"/>
        <v>21.252418817937492</v>
      </c>
      <c r="AK23" s="92"/>
      <c r="AL23" s="91">
        <f t="shared" si="16"/>
        <v>0.7</v>
      </c>
      <c r="AM23" s="91">
        <f t="shared" si="9"/>
        <v>28.874999999999996</v>
      </c>
      <c r="AN23" s="91">
        <f t="shared" si="10"/>
        <v>16.362499999999997</v>
      </c>
      <c r="AO23" s="92"/>
      <c r="AP23" s="38" t="s">
        <v>17</v>
      </c>
      <c r="AQ23" s="48" t="s">
        <v>15</v>
      </c>
      <c r="AR23" s="92"/>
      <c r="AS23" s="38" t="s">
        <v>17</v>
      </c>
      <c r="AT23" s="48" t="s">
        <v>15</v>
      </c>
      <c r="AV23" s="95">
        <f t="shared" si="11"/>
        <v>2</v>
      </c>
      <c r="AW23" s="95">
        <f t="shared" si="0"/>
        <v>2.6636793319959211</v>
      </c>
      <c r="AX23" s="95">
        <f t="shared" si="1"/>
        <v>3.5</v>
      </c>
      <c r="AY23" s="95">
        <f t="shared" si="2"/>
        <v>9.6621432084423251</v>
      </c>
      <c r="AZ23" s="95">
        <f t="shared" si="3"/>
        <v>16.994157207968332</v>
      </c>
      <c r="BA23" s="95">
        <f t="shared" si="4"/>
        <v>59.278019245676319</v>
      </c>
    </row>
    <row r="24" spans="3:53" ht="18.75" thickTop="1" x14ac:dyDescent="0.25">
      <c r="C24" s="44" t="s">
        <v>109</v>
      </c>
      <c r="D24" s="142" t="str">
        <f>IF(H15="Column",IF(C26&lt;0.01,"Increase RFT",IF(C26&gt;0.04,"Decrease RFT","Pass")),IF(H15="Wall",IF(C26&lt;0.005,"Increase RFT",IF(C26&gt;0.04,"Decrease RFT","Pass"))))</f>
        <v>Pass</v>
      </c>
      <c r="E24" s="143"/>
      <c r="F24" s="45" t="s">
        <v>82</v>
      </c>
      <c r="G24" s="142" t="str">
        <f>IF(D21&lt;MIN(F15/2,G15/2,175,8*C18),"Pass","Decrease Spacing")</f>
        <v>Pass</v>
      </c>
      <c r="H24" s="143"/>
      <c r="I24" s="45" t="s">
        <v>113</v>
      </c>
      <c r="J24" s="142" t="str">
        <f>IF(I26&gt;0.08,"Pass","Adjust Detail")</f>
        <v>Pass</v>
      </c>
      <c r="K24" s="143"/>
      <c r="AB24" s="91">
        <f t="shared" si="12"/>
        <v>1.0654717327983685</v>
      </c>
      <c r="AC24" s="91">
        <f t="shared" si="5"/>
        <v>0.39999999999999986</v>
      </c>
      <c r="AD24" s="91">
        <f t="shared" si="6"/>
        <v>36.929714566753859</v>
      </c>
      <c r="AE24" s="91">
        <f t="shared" si="13"/>
        <v>20.926838254493852</v>
      </c>
      <c r="AF24" s="92"/>
      <c r="AG24" s="91">
        <f t="shared" si="14"/>
        <v>1.5422415396541054</v>
      </c>
      <c r="AH24" s="91">
        <f t="shared" si="7"/>
        <v>0.4</v>
      </c>
      <c r="AI24" s="91">
        <f t="shared" si="8"/>
        <v>41.065074403600754</v>
      </c>
      <c r="AJ24" s="91">
        <f t="shared" si="15"/>
        <v>23.270208828707094</v>
      </c>
      <c r="AK24" s="92"/>
      <c r="AL24" s="91">
        <f t="shared" si="16"/>
        <v>0.79999999999999993</v>
      </c>
      <c r="AM24" s="91">
        <f t="shared" si="9"/>
        <v>31.999999999999996</v>
      </c>
      <c r="AN24" s="91">
        <f t="shared" si="10"/>
        <v>18.133333333333329</v>
      </c>
      <c r="AO24" s="92"/>
      <c r="AP24" s="7">
        <f>AP15</f>
        <v>-45</v>
      </c>
      <c r="AQ24" s="7">
        <f>-D10/M10</f>
        <v>-434.78260869565219</v>
      </c>
      <c r="AR24" s="92"/>
      <c r="AS24" s="7">
        <f>-1*J10</f>
        <v>-45</v>
      </c>
      <c r="AT24" s="7">
        <f>-1*E10/M10</f>
        <v>-469.56521739130437</v>
      </c>
      <c r="AV24" s="95">
        <f t="shared" si="11"/>
        <v>2</v>
      </c>
      <c r="AW24" s="95">
        <f t="shared" si="0"/>
        <v>2.6636793319959211</v>
      </c>
      <c r="AX24" s="95">
        <f t="shared" si="1"/>
        <v>3.5</v>
      </c>
      <c r="AY24" s="95">
        <f t="shared" si="2"/>
        <v>9.6621432084423251</v>
      </c>
      <c r="AZ24" s="95">
        <f t="shared" si="3"/>
        <v>16.994157207968332</v>
      </c>
      <c r="BA24" s="95">
        <f t="shared" si="4"/>
        <v>59.278019245676319</v>
      </c>
    </row>
    <row r="25" spans="3:53" x14ac:dyDescent="0.25">
      <c r="C25" s="71" t="s">
        <v>57</v>
      </c>
      <c r="D25" s="142"/>
      <c r="E25" s="143"/>
      <c r="F25" s="91" t="s">
        <v>31</v>
      </c>
      <c r="G25" s="142"/>
      <c r="H25" s="143"/>
      <c r="I25" s="91" t="s">
        <v>14</v>
      </c>
      <c r="J25" s="142"/>
      <c r="K25" s="143"/>
      <c r="AB25" s="91">
        <f t="shared" si="12"/>
        <v>1.1986556993981645</v>
      </c>
      <c r="AC25" s="91">
        <f t="shared" si="5"/>
        <v>0.44999999999999984</v>
      </c>
      <c r="AD25" s="91">
        <f t="shared" si="6"/>
        <v>40.247618609860652</v>
      </c>
      <c r="AE25" s="91">
        <f t="shared" si="13"/>
        <v>22.806983878921034</v>
      </c>
      <c r="AF25" s="92"/>
      <c r="AG25" s="91">
        <f t="shared" si="14"/>
        <v>1.7350217321108685</v>
      </c>
      <c r="AH25" s="91">
        <f t="shared" si="7"/>
        <v>0.45</v>
      </c>
      <c r="AI25" s="91">
        <f t="shared" si="8"/>
        <v>44.249370681820366</v>
      </c>
      <c r="AJ25" s="91">
        <f t="shared" si="15"/>
        <v>25.074643386364873</v>
      </c>
      <c r="AK25" s="92"/>
      <c r="AL25" s="91">
        <f t="shared" si="16"/>
        <v>0.89999999999999991</v>
      </c>
      <c r="AM25" s="91">
        <f t="shared" si="9"/>
        <v>34.875</v>
      </c>
      <c r="AN25" s="91">
        <f t="shared" si="10"/>
        <v>19.762499999999999</v>
      </c>
      <c r="AO25" s="92"/>
      <c r="AP25" s="91">
        <f>-D10/M10/G10</f>
        <v>-2.1739130434782608</v>
      </c>
      <c r="AQ25" s="91">
        <f>AQ24</f>
        <v>-434.78260869565219</v>
      </c>
      <c r="AR25" s="92"/>
      <c r="AS25" s="91">
        <f>-1*D10/G10/M10</f>
        <v>-2.1739130434782612</v>
      </c>
      <c r="AT25" s="91">
        <f>-1*D10/M10</f>
        <v>-434.78260869565219</v>
      </c>
      <c r="AV25" s="95">
        <f t="shared" si="11"/>
        <v>2</v>
      </c>
      <c r="AW25" s="95">
        <f t="shared" si="0"/>
        <v>2.6636793319959211</v>
      </c>
      <c r="AX25" s="95">
        <f t="shared" si="1"/>
        <v>3.5</v>
      </c>
      <c r="AY25" s="95">
        <f t="shared" si="2"/>
        <v>9.6621432084423251</v>
      </c>
      <c r="AZ25" s="95">
        <f t="shared" si="3"/>
        <v>16.994157207968332</v>
      </c>
      <c r="BA25" s="95">
        <f t="shared" si="4"/>
        <v>59.278019245676319</v>
      </c>
    </row>
    <row r="26" spans="3:53" ht="15.75" thickBot="1" x14ac:dyDescent="0.3">
      <c r="C26" s="72">
        <f>IF(G18=1,C18^2*PI()/4*2*(F18+1)/(C15*D15),C18^2*PI()/4*(2*(F18+1)+2*G18)/(C15*D15))</f>
        <v>5.9329749785826912E-3</v>
      </c>
      <c r="D26" s="144"/>
      <c r="E26" s="145"/>
      <c r="F26" s="34">
        <f>D21</f>
        <v>100</v>
      </c>
      <c r="G26" s="144"/>
      <c r="H26" s="145"/>
      <c r="I26" s="34">
        <f>L21/100*AQ28/AN37</f>
        <v>9.4559742329038243E-2</v>
      </c>
      <c r="J26" s="144"/>
      <c r="K26" s="145"/>
      <c r="AB26" s="91">
        <f t="shared" si="12"/>
        <v>1.3318396659979606</v>
      </c>
      <c r="AC26" s="91">
        <f t="shared" si="5"/>
        <v>0.49999999999999983</v>
      </c>
      <c r="AD26" s="91">
        <f t="shared" si="6"/>
        <v>43.277009257914678</v>
      </c>
      <c r="AE26" s="91">
        <f t="shared" si="13"/>
        <v>24.523638579484984</v>
      </c>
      <c r="AF26" s="92"/>
      <c r="AG26" s="91">
        <f t="shared" si="14"/>
        <v>1.9278019245676317</v>
      </c>
      <c r="AH26" s="91">
        <f t="shared" si="7"/>
        <v>0.5</v>
      </c>
      <c r="AI26" s="91">
        <f t="shared" si="8"/>
        <v>47.077116074985774</v>
      </c>
      <c r="AJ26" s="91">
        <f t="shared" si="15"/>
        <v>26.677032442491939</v>
      </c>
      <c r="AK26" s="92"/>
      <c r="AL26" s="91">
        <f t="shared" si="16"/>
        <v>0.99999999999999989</v>
      </c>
      <c r="AM26" s="91">
        <f t="shared" si="9"/>
        <v>37.5</v>
      </c>
      <c r="AN26" s="91">
        <f t="shared" si="10"/>
        <v>21.25</v>
      </c>
      <c r="AO26" s="92"/>
      <c r="AP26" s="91">
        <v>0</v>
      </c>
      <c r="AQ26" s="91">
        <f>0</f>
        <v>0</v>
      </c>
      <c r="AR26" s="92"/>
      <c r="AS26" s="91">
        <f>0</f>
        <v>0</v>
      </c>
      <c r="AT26" s="91">
        <f>0</f>
        <v>0</v>
      </c>
      <c r="AV26" s="95">
        <f t="shared" si="11"/>
        <v>2</v>
      </c>
      <c r="AW26" s="95">
        <f t="shared" si="0"/>
        <v>2.6636793319959211</v>
      </c>
      <c r="AX26" s="95">
        <f t="shared" si="1"/>
        <v>3.5</v>
      </c>
      <c r="AY26" s="95">
        <f t="shared" si="2"/>
        <v>9.6621432084423251</v>
      </c>
      <c r="AZ26" s="95">
        <f t="shared" si="3"/>
        <v>16.994157207968332</v>
      </c>
      <c r="BA26" s="95">
        <f t="shared" si="4"/>
        <v>59.278019245676319</v>
      </c>
    </row>
    <row r="27" spans="3:53" ht="15.75" thickBot="1" x14ac:dyDescent="0.3">
      <c r="AB27" s="91">
        <f t="shared" si="12"/>
        <v>1.4650236325977566</v>
      </c>
      <c r="AC27" s="91">
        <f t="shared" si="5"/>
        <v>0.54999999999999982</v>
      </c>
      <c r="AD27" s="91">
        <f t="shared" si="6"/>
        <v>46.01788651091595</v>
      </c>
      <c r="AE27" s="91">
        <f t="shared" si="13"/>
        <v>26.076802356185706</v>
      </c>
      <c r="AF27" s="92"/>
      <c r="AG27" s="91">
        <f t="shared" si="14"/>
        <v>2.1205821170243948</v>
      </c>
      <c r="AH27" s="91">
        <f t="shared" si="7"/>
        <v>0.55000000000000004</v>
      </c>
      <c r="AI27" s="91">
        <f t="shared" si="8"/>
        <v>49.566883134072114</v>
      </c>
      <c r="AJ27" s="91">
        <f t="shared" si="15"/>
        <v>28.087900442640862</v>
      </c>
      <c r="AK27" s="92"/>
      <c r="AL27" s="91">
        <f t="shared" si="16"/>
        <v>1.0999999999999999</v>
      </c>
      <c r="AM27" s="91">
        <f t="shared" si="9"/>
        <v>39.874999999999993</v>
      </c>
      <c r="AN27" s="91">
        <f t="shared" si="10"/>
        <v>22.595833333333328</v>
      </c>
      <c r="AO27" s="92"/>
      <c r="AP27" s="91">
        <f>-AP25</f>
        <v>2.1739130434782608</v>
      </c>
      <c r="AQ27" s="91">
        <f>-AQ25</f>
        <v>434.78260869565219</v>
      </c>
      <c r="AR27" s="92"/>
      <c r="AS27" s="91">
        <f>D10/G10/M10</f>
        <v>2.1739130434782612</v>
      </c>
      <c r="AT27" s="91">
        <f>D10/M10</f>
        <v>434.78260869565219</v>
      </c>
      <c r="AV27" s="95">
        <f t="shared" si="11"/>
        <v>2</v>
      </c>
      <c r="AW27" s="95">
        <f t="shared" si="0"/>
        <v>2.6636793319959211</v>
      </c>
      <c r="AX27" s="95">
        <f t="shared" si="1"/>
        <v>3.5</v>
      </c>
      <c r="AY27" s="95">
        <f t="shared" si="2"/>
        <v>9.6621432084423251</v>
      </c>
      <c r="AZ27" s="95">
        <f t="shared" si="3"/>
        <v>16.994157207968332</v>
      </c>
      <c r="BA27" s="95">
        <f t="shared" si="4"/>
        <v>59.278019245676319</v>
      </c>
    </row>
    <row r="28" spans="3:53" x14ac:dyDescent="0.25">
      <c r="C28" s="129" t="s">
        <v>91</v>
      </c>
      <c r="D28" s="130"/>
      <c r="E28" s="130"/>
      <c r="F28" s="131"/>
      <c r="H28" s="129" t="s">
        <v>92</v>
      </c>
      <c r="I28" s="130"/>
      <c r="J28" s="130"/>
      <c r="K28" s="131"/>
      <c r="AB28" s="91">
        <f t="shared" si="12"/>
        <v>1.5982075991975526</v>
      </c>
      <c r="AC28" s="91">
        <f t="shared" si="5"/>
        <v>0.59999999999999976</v>
      </c>
      <c r="AD28" s="91">
        <f t="shared" si="6"/>
        <v>48.470250368864441</v>
      </c>
      <c r="AE28" s="91">
        <f t="shared" si="13"/>
        <v>27.466475209023184</v>
      </c>
      <c r="AF28" s="92"/>
      <c r="AG28" s="91">
        <f t="shared" si="14"/>
        <v>2.3133623094811582</v>
      </c>
      <c r="AH28" s="91">
        <f t="shared" si="7"/>
        <v>0.60000000000000009</v>
      </c>
      <c r="AI28" s="91">
        <f t="shared" si="8"/>
        <v>51.73597651202099</v>
      </c>
      <c r="AJ28" s="91">
        <f t="shared" si="15"/>
        <v>29.317053356811893</v>
      </c>
      <c r="AK28" s="92"/>
      <c r="AL28" s="91">
        <f t="shared" si="16"/>
        <v>1.2</v>
      </c>
      <c r="AM28" s="91">
        <f t="shared" si="9"/>
        <v>42</v>
      </c>
      <c r="AN28" s="91">
        <f t="shared" si="10"/>
        <v>23.799999999999997</v>
      </c>
      <c r="AO28" s="92"/>
      <c r="AP28" s="91">
        <f>-AP24</f>
        <v>45</v>
      </c>
      <c r="AQ28" s="91">
        <f>-AQ25</f>
        <v>434.78260869565219</v>
      </c>
      <c r="AR28" s="92"/>
      <c r="AS28" s="91">
        <f>J10</f>
        <v>45</v>
      </c>
      <c r="AT28" s="91">
        <f>E10/M10</f>
        <v>469.56521739130437</v>
      </c>
      <c r="AV28" s="95">
        <f t="shared" si="11"/>
        <v>2</v>
      </c>
      <c r="AW28" s="95">
        <f t="shared" si="0"/>
        <v>2.6636793319959211</v>
      </c>
      <c r="AX28" s="95">
        <f t="shared" si="1"/>
        <v>3.5</v>
      </c>
      <c r="AY28" s="95">
        <f t="shared" si="2"/>
        <v>9.6621432084423251</v>
      </c>
      <c r="AZ28" s="95">
        <f t="shared" si="3"/>
        <v>16.994157207968332</v>
      </c>
      <c r="BA28" s="95">
        <f t="shared" si="4"/>
        <v>59.278019245676319</v>
      </c>
    </row>
    <row r="29" spans="3:53" x14ac:dyDescent="0.25">
      <c r="C29" s="73" t="s">
        <v>61</v>
      </c>
      <c r="D29" s="3" t="s">
        <v>62</v>
      </c>
      <c r="E29" s="3" t="s">
        <v>63</v>
      </c>
      <c r="F29" s="74" t="s">
        <v>66</v>
      </c>
      <c r="H29" s="73" t="s">
        <v>61</v>
      </c>
      <c r="I29" s="3" t="s">
        <v>62</v>
      </c>
      <c r="J29" s="3" t="s">
        <v>63</v>
      </c>
      <c r="K29" s="74" t="s">
        <v>66</v>
      </c>
      <c r="AB29" s="91">
        <f t="shared" si="12"/>
        <v>1.7313915657973487</v>
      </c>
      <c r="AC29" s="91">
        <f t="shared" si="5"/>
        <v>0.6499999999999998</v>
      </c>
      <c r="AD29" s="91">
        <f t="shared" si="6"/>
        <v>50.634100831760179</v>
      </c>
      <c r="AE29" s="91">
        <f t="shared" si="13"/>
        <v>28.692657137997433</v>
      </c>
      <c r="AF29" s="92"/>
      <c r="AG29" s="91">
        <f t="shared" si="14"/>
        <v>2.5061425019379215</v>
      </c>
      <c r="AH29" s="91">
        <f t="shared" si="7"/>
        <v>0.65000000000000013</v>
      </c>
      <c r="AI29" s="91">
        <f t="shared" si="8"/>
        <v>53.60053934316123</v>
      </c>
      <c r="AJ29" s="91">
        <f t="shared" si="15"/>
        <v>30.373638961124698</v>
      </c>
      <c r="AK29" s="92"/>
      <c r="AL29" s="91">
        <f t="shared" si="16"/>
        <v>1.3</v>
      </c>
      <c r="AM29" s="91">
        <f t="shared" si="9"/>
        <v>43.875</v>
      </c>
      <c r="AN29" s="91">
        <f t="shared" si="10"/>
        <v>24.862499999999997</v>
      </c>
      <c r="AO29" s="92"/>
      <c r="AV29" s="95">
        <f t="shared" si="11"/>
        <v>2</v>
      </c>
      <c r="AW29" s="95">
        <f t="shared" si="0"/>
        <v>2.6636793319959211</v>
      </c>
      <c r="AX29" s="95">
        <f t="shared" si="1"/>
        <v>3.5</v>
      </c>
      <c r="AY29" s="95">
        <f t="shared" si="2"/>
        <v>9.6621432084423251</v>
      </c>
      <c r="AZ29" s="95">
        <f t="shared" si="3"/>
        <v>16.994157207968332</v>
      </c>
      <c r="BA29" s="95">
        <f t="shared" si="4"/>
        <v>59.278019245676319</v>
      </c>
    </row>
    <row r="30" spans="3:53" ht="15.75" thickBot="1" x14ac:dyDescent="0.3">
      <c r="C30" s="75" t="s">
        <v>15</v>
      </c>
      <c r="D30" s="38" t="s">
        <v>17</v>
      </c>
      <c r="E30" s="38" t="s">
        <v>17</v>
      </c>
      <c r="F30" s="76" t="s">
        <v>15</v>
      </c>
      <c r="H30" s="75" t="s">
        <v>15</v>
      </c>
      <c r="I30" s="38" t="s">
        <v>17</v>
      </c>
      <c r="J30" s="38" t="s">
        <v>17</v>
      </c>
      <c r="K30" s="76" t="s">
        <v>15</v>
      </c>
      <c r="AB30" s="91">
        <f t="shared" si="12"/>
        <v>1.8645755323971447</v>
      </c>
      <c r="AC30" s="91">
        <f t="shared" si="5"/>
        <v>0.69999999999999973</v>
      </c>
      <c r="AD30" s="91">
        <f t="shared" si="6"/>
        <v>52.509437899603142</v>
      </c>
      <c r="AE30" s="91">
        <f t="shared" si="13"/>
        <v>29.755348143108446</v>
      </c>
      <c r="AF30" s="92"/>
      <c r="AG30" s="91">
        <f t="shared" si="14"/>
        <v>2.6989226943946849</v>
      </c>
      <c r="AH30" s="91">
        <f t="shared" si="7"/>
        <v>0.70000000000000018</v>
      </c>
      <c r="AI30" s="91">
        <f t="shared" si="8"/>
        <v>55.175649088831825</v>
      </c>
      <c r="AJ30" s="91">
        <f t="shared" si="15"/>
        <v>31.266201150338034</v>
      </c>
      <c r="AK30" s="92"/>
      <c r="AL30" s="91">
        <f t="shared" si="16"/>
        <v>1.4000000000000001</v>
      </c>
      <c r="AM30" s="91">
        <f t="shared" si="9"/>
        <v>45.5</v>
      </c>
      <c r="AN30" s="91">
        <f t="shared" si="10"/>
        <v>25.783333333333331</v>
      </c>
      <c r="AO30" s="92"/>
      <c r="AV30" s="95">
        <f t="shared" si="11"/>
        <v>2</v>
      </c>
      <c r="AW30" s="95">
        <f t="shared" si="0"/>
        <v>2.6636793319959211</v>
      </c>
      <c r="AX30" s="95">
        <f t="shared" si="1"/>
        <v>3.5</v>
      </c>
      <c r="AY30" s="95">
        <f t="shared" si="2"/>
        <v>9.6621432084423251</v>
      </c>
      <c r="AZ30" s="95">
        <f t="shared" si="3"/>
        <v>16.994157207968332</v>
      </c>
      <c r="BA30" s="95">
        <f t="shared" si="4"/>
        <v>59.278019245676319</v>
      </c>
    </row>
    <row r="31" spans="3:53" ht="15.75" customHeight="1" thickTop="1" thickBot="1" x14ac:dyDescent="0.3">
      <c r="C31" s="9">
        <f>IF(N21&lt;=0.05*E5,E5*(1+5*N21/E5),E5*(1.125+2.5*N21/E5))</f>
        <v>57.702679010552906</v>
      </c>
      <c r="D31" s="10">
        <f>K5*(C31/E5)^2</f>
        <v>2.663679331995922</v>
      </c>
      <c r="E31" s="11">
        <f>L5+0.2*N21/E5*1000</f>
        <v>9.6621432084423251</v>
      </c>
      <c r="F31" s="94">
        <f>$N$10*C31/L10</f>
        <v>32.698184772646648</v>
      </c>
      <c r="H31" s="9">
        <f>$E$5*(1+3.7*(N21/E5)^0.86)</f>
        <v>59.278019245676319</v>
      </c>
      <c r="I31" s="10">
        <f>$K$5*(1+5*(H31/E5-1))</f>
        <v>3.8556038491352633</v>
      </c>
      <c r="J31" s="11">
        <f>(4/1000+0.5*N21/H31)*1000</f>
        <v>16.994157207968332</v>
      </c>
      <c r="K31" s="94">
        <f>H31*N10/L10</f>
        <v>33.590877572549914</v>
      </c>
      <c r="AB31" s="91">
        <f t="shared" si="12"/>
        <v>1.9977594989969407</v>
      </c>
      <c r="AC31" s="91">
        <f t="shared" si="5"/>
        <v>0.74999999999999967</v>
      </c>
      <c r="AD31" s="91">
        <f t="shared" si="6"/>
        <v>54.096261572393352</v>
      </c>
      <c r="AE31" s="91">
        <f t="shared" si="13"/>
        <v>30.654548224356233</v>
      </c>
      <c r="AF31" s="92"/>
      <c r="AG31" s="91">
        <f t="shared" si="14"/>
        <v>2.8917028868514483</v>
      </c>
      <c r="AH31" s="91">
        <f t="shared" si="7"/>
        <v>0.75000000000000022</v>
      </c>
      <c r="AI31" s="91">
        <f t="shared" si="8"/>
        <v>56.475404046361732</v>
      </c>
      <c r="AJ31" s="91">
        <f t="shared" si="15"/>
        <v>32.00272895960498</v>
      </c>
      <c r="AK31" s="92"/>
      <c r="AL31" s="91">
        <f t="shared" si="16"/>
        <v>1.5000000000000002</v>
      </c>
      <c r="AM31" s="91">
        <f t="shared" si="9"/>
        <v>46.875</v>
      </c>
      <c r="AN31" s="91">
        <f t="shared" si="10"/>
        <v>26.5625</v>
      </c>
      <c r="AO31" s="92"/>
      <c r="AV31" s="95">
        <f t="shared" si="11"/>
        <v>2</v>
      </c>
      <c r="AW31" s="95">
        <f t="shared" si="0"/>
        <v>2.6636793319959211</v>
      </c>
      <c r="AX31" s="95">
        <f t="shared" si="1"/>
        <v>3.5</v>
      </c>
      <c r="AY31" s="95">
        <f t="shared" si="2"/>
        <v>9.6621432084423251</v>
      </c>
      <c r="AZ31" s="95">
        <f t="shared" si="3"/>
        <v>16.994157207968332</v>
      </c>
      <c r="BA31" s="95">
        <f t="shared" si="4"/>
        <v>59.278019245676319</v>
      </c>
    </row>
    <row r="32" spans="3:53" ht="15.75" customHeight="1" x14ac:dyDescent="0.25">
      <c r="AB32" s="91">
        <f t="shared" si="12"/>
        <v>2.130943465596737</v>
      </c>
      <c r="AC32" s="91">
        <f t="shared" si="5"/>
        <v>0.79999999999999971</v>
      </c>
      <c r="AD32" s="91">
        <f t="shared" si="6"/>
        <v>55.394571850130788</v>
      </c>
      <c r="AE32" s="91">
        <f t="shared" si="13"/>
        <v>31.390257381740781</v>
      </c>
      <c r="AF32" s="92"/>
      <c r="AG32" s="91">
        <f t="shared" si="14"/>
        <v>3.0844830793082116</v>
      </c>
      <c r="AH32" s="91">
        <f t="shared" si="7"/>
        <v>0.80000000000000027</v>
      </c>
      <c r="AI32" s="91">
        <f t="shared" si="8"/>
        <v>57.513001565553346</v>
      </c>
      <c r="AJ32" s="91">
        <f t="shared" si="15"/>
        <v>32.590700887146895</v>
      </c>
      <c r="AK32" s="92"/>
      <c r="AL32" s="91">
        <f t="shared" si="16"/>
        <v>1.6000000000000003</v>
      </c>
      <c r="AM32" s="91">
        <f t="shared" si="9"/>
        <v>48.000000000000007</v>
      </c>
      <c r="AN32" s="91">
        <f t="shared" si="10"/>
        <v>27.200000000000003</v>
      </c>
      <c r="AO32" s="92"/>
      <c r="AV32" s="95">
        <f t="shared" si="11"/>
        <v>2</v>
      </c>
      <c r="AW32" s="95">
        <f t="shared" si="0"/>
        <v>2.6636793319959211</v>
      </c>
      <c r="AX32" s="95">
        <f t="shared" si="1"/>
        <v>3.5</v>
      </c>
      <c r="AY32" s="95">
        <f t="shared" si="2"/>
        <v>9.6621432084423251</v>
      </c>
      <c r="AZ32" s="95">
        <f t="shared" si="3"/>
        <v>16.994157207968332</v>
      </c>
      <c r="BA32" s="95">
        <f t="shared" si="4"/>
        <v>59.278019245676319</v>
      </c>
    </row>
    <row r="33" spans="3:53" ht="15.75" customHeight="1" x14ac:dyDescent="0.25">
      <c r="AB33" s="91">
        <f t="shared" si="12"/>
        <v>2.264127432196533</v>
      </c>
      <c r="AC33" s="91">
        <f t="shared" si="5"/>
        <v>0.84999999999999976</v>
      </c>
      <c r="AD33" s="91">
        <f t="shared" si="6"/>
        <v>56.40436873281547</v>
      </c>
      <c r="AE33" s="91">
        <f t="shared" si="13"/>
        <v>31.962475615262097</v>
      </c>
      <c r="AF33" s="92"/>
      <c r="AG33" s="91">
        <f t="shared" si="14"/>
        <v>3.277263271764975</v>
      </c>
      <c r="AH33" s="91">
        <f t="shared" si="7"/>
        <v>0.85000000000000031</v>
      </c>
      <c r="AI33" s="91">
        <f t="shared" si="8"/>
        <v>58.300808885463624</v>
      </c>
      <c r="AJ33" s="91">
        <f t="shared" si="15"/>
        <v>33.037125035096054</v>
      </c>
      <c r="AK33" s="92"/>
      <c r="AL33" s="91">
        <f t="shared" si="16"/>
        <v>1.7000000000000004</v>
      </c>
      <c r="AM33" s="91">
        <f t="shared" si="9"/>
        <v>48.875</v>
      </c>
      <c r="AN33" s="91">
        <f t="shared" si="10"/>
        <v>27.695833333333329</v>
      </c>
      <c r="AO33" s="92"/>
      <c r="AV33" s="95">
        <f t="shared" si="11"/>
        <v>2</v>
      </c>
      <c r="AW33" s="95">
        <f t="shared" si="0"/>
        <v>2.6636793319959211</v>
      </c>
      <c r="AX33" s="95">
        <f t="shared" si="1"/>
        <v>3.5</v>
      </c>
      <c r="AY33" s="95">
        <f t="shared" si="2"/>
        <v>9.6621432084423251</v>
      </c>
      <c r="AZ33" s="95">
        <f t="shared" si="3"/>
        <v>16.994157207968332</v>
      </c>
      <c r="BA33" s="95">
        <f t="shared" si="4"/>
        <v>59.278019245676319</v>
      </c>
    </row>
    <row r="34" spans="3:53" ht="16.5" customHeight="1" x14ac:dyDescent="0.25">
      <c r="AB34" s="91">
        <f t="shared" si="12"/>
        <v>2.397311398796329</v>
      </c>
      <c r="AC34" s="91">
        <f t="shared" si="5"/>
        <v>0.89999999999999969</v>
      </c>
      <c r="AD34" s="91">
        <f t="shared" si="6"/>
        <v>57.125652220447378</v>
      </c>
      <c r="AE34" s="91">
        <f t="shared" si="13"/>
        <v>32.371202924920176</v>
      </c>
      <c r="AF34" s="92"/>
      <c r="AG34" s="91">
        <f t="shared" si="14"/>
        <v>3.4700434642217384</v>
      </c>
      <c r="AH34" s="91">
        <f t="shared" si="7"/>
        <v>0.90000000000000036</v>
      </c>
      <c r="AI34" s="91">
        <f t="shared" si="8"/>
        <v>58.850427391224962</v>
      </c>
      <c r="AJ34" s="91">
        <f t="shared" si="15"/>
        <v>33.348575521694144</v>
      </c>
      <c r="AK34" s="92"/>
      <c r="AL34" s="91">
        <f t="shared" si="16"/>
        <v>1.8000000000000005</v>
      </c>
      <c r="AM34" s="91">
        <f t="shared" si="9"/>
        <v>49.500000000000007</v>
      </c>
      <c r="AN34" s="91">
        <f t="shared" si="10"/>
        <v>28.05</v>
      </c>
      <c r="AO34" s="92"/>
      <c r="AV34" s="95">
        <f t="shared" si="11"/>
        <v>2</v>
      </c>
      <c r="AW34" s="95">
        <f t="shared" si="0"/>
        <v>2.6636793319959211</v>
      </c>
      <c r="AX34" s="95">
        <f t="shared" si="1"/>
        <v>3.5</v>
      </c>
      <c r="AY34" s="95">
        <f t="shared" si="2"/>
        <v>9.6621432084423251</v>
      </c>
      <c r="AZ34" s="95">
        <f t="shared" si="3"/>
        <v>16.994157207968332</v>
      </c>
      <c r="BA34" s="95">
        <f t="shared" si="4"/>
        <v>59.278019245676319</v>
      </c>
    </row>
    <row r="35" spans="3:53" x14ac:dyDescent="0.25">
      <c r="AB35" s="91">
        <f t="shared" si="12"/>
        <v>2.5304953653961251</v>
      </c>
      <c r="AC35" s="91">
        <f t="shared" si="5"/>
        <v>0.94999999999999973</v>
      </c>
      <c r="AD35" s="91">
        <f t="shared" si="6"/>
        <v>57.558422313026519</v>
      </c>
      <c r="AE35" s="91">
        <f t="shared" si="13"/>
        <v>32.61643931071503</v>
      </c>
      <c r="AF35" s="92"/>
      <c r="AG35" s="91">
        <f t="shared" si="14"/>
        <v>3.6628236566785017</v>
      </c>
      <c r="AH35" s="91">
        <f t="shared" si="7"/>
        <v>0.9500000000000004</v>
      </c>
      <c r="AI35" s="91">
        <f t="shared" si="8"/>
        <v>59.172750993108679</v>
      </c>
      <c r="AJ35" s="91">
        <f t="shared" si="15"/>
        <v>33.531225562761584</v>
      </c>
      <c r="AK35" s="92"/>
      <c r="AL35" s="91">
        <f t="shared" si="16"/>
        <v>1.9000000000000006</v>
      </c>
      <c r="AM35" s="91">
        <f t="shared" si="9"/>
        <v>49.875</v>
      </c>
      <c r="AN35" s="91">
        <f t="shared" si="10"/>
        <v>28.262499999999999</v>
      </c>
      <c r="AO35" s="92"/>
      <c r="AV35" s="95">
        <f t="shared" si="11"/>
        <v>2</v>
      </c>
      <c r="AW35" s="95">
        <f t="shared" si="0"/>
        <v>2.6636793319959211</v>
      </c>
      <c r="AX35" s="95">
        <f t="shared" si="1"/>
        <v>3.5</v>
      </c>
      <c r="AY35" s="95">
        <f t="shared" si="2"/>
        <v>9.6621432084423251</v>
      </c>
      <c r="AZ35" s="95">
        <f t="shared" si="3"/>
        <v>16.994157207968332</v>
      </c>
      <c r="BA35" s="95">
        <f t="shared" si="4"/>
        <v>59.278019245676319</v>
      </c>
    </row>
    <row r="36" spans="3:53" ht="15.75" thickBot="1" x14ac:dyDescent="0.3">
      <c r="AB36" s="12">
        <f t="shared" si="12"/>
        <v>2.6636793319959211</v>
      </c>
      <c r="AC36" s="91">
        <f t="shared" si="5"/>
        <v>0.99999999999999967</v>
      </c>
      <c r="AD36" s="91">
        <f t="shared" si="6"/>
        <v>57.702679010552906</v>
      </c>
      <c r="AE36" s="91">
        <f t="shared" si="13"/>
        <v>32.698184772646648</v>
      </c>
      <c r="AF36" s="92"/>
      <c r="AG36" s="12">
        <f t="shared" si="14"/>
        <v>3.8556038491352651</v>
      </c>
      <c r="AH36" s="91">
        <f t="shared" si="7"/>
        <v>1.0000000000000004</v>
      </c>
      <c r="AI36" s="91">
        <f t="shared" si="8"/>
        <v>59.278019245676319</v>
      </c>
      <c r="AJ36" s="91">
        <f t="shared" si="15"/>
        <v>33.590877572549914</v>
      </c>
      <c r="AK36" s="92"/>
      <c r="AL36" s="15">
        <f t="shared" si="16"/>
        <v>2.0000000000000004</v>
      </c>
      <c r="AM36" s="91">
        <f t="shared" si="9"/>
        <v>50</v>
      </c>
      <c r="AN36" s="91">
        <f t="shared" si="10"/>
        <v>28.333333333333332</v>
      </c>
      <c r="AO36" s="92"/>
      <c r="AV36" s="95">
        <f t="shared" si="11"/>
        <v>2</v>
      </c>
      <c r="AW36" s="95">
        <f t="shared" si="0"/>
        <v>2.6636793319959211</v>
      </c>
      <c r="AX36" s="95">
        <f t="shared" si="1"/>
        <v>3.5</v>
      </c>
      <c r="AY36" s="95">
        <f t="shared" si="2"/>
        <v>9.6621432084423251</v>
      </c>
      <c r="AZ36" s="95">
        <f t="shared" si="3"/>
        <v>16.994157207968332</v>
      </c>
      <c r="BA36" s="95">
        <f t="shared" si="4"/>
        <v>59.278019245676319</v>
      </c>
    </row>
    <row r="37" spans="3:53" ht="18" customHeight="1" x14ac:dyDescent="0.25">
      <c r="C37" s="123" t="s">
        <v>94</v>
      </c>
      <c r="D37" s="124"/>
      <c r="E37" s="124"/>
      <c r="F37" s="124"/>
      <c r="G37" s="124"/>
      <c r="H37" s="124"/>
      <c r="I37" s="124"/>
      <c r="J37" s="124"/>
      <c r="K37" s="124"/>
      <c r="L37" s="124"/>
      <c r="M37" s="125"/>
      <c r="AB37" s="13">
        <f>E31</f>
        <v>9.6621432084423251</v>
      </c>
      <c r="AC37" s="91">
        <v>0</v>
      </c>
      <c r="AD37" s="91">
        <f>0.85*$AD$36</f>
        <v>49.047277158969969</v>
      </c>
      <c r="AE37" s="91">
        <f t="shared" si="13"/>
        <v>27.793457056749649</v>
      </c>
      <c r="AF37" s="92"/>
      <c r="AG37" s="13">
        <f>J31</f>
        <v>16.994157207968332</v>
      </c>
      <c r="AH37" s="91">
        <v>0</v>
      </c>
      <c r="AI37" s="91">
        <f>0.85*AI36</f>
        <v>50.386316358824871</v>
      </c>
      <c r="AJ37" s="91">
        <f t="shared" si="15"/>
        <v>28.552245936667429</v>
      </c>
      <c r="AK37" s="92"/>
      <c r="AL37" s="16">
        <f>L5</f>
        <v>3.5</v>
      </c>
      <c r="AM37" s="91">
        <f>E5</f>
        <v>50</v>
      </c>
      <c r="AN37" s="91">
        <f t="shared" si="10"/>
        <v>28.333333333333332</v>
      </c>
      <c r="AO37" s="92"/>
      <c r="AV37" s="95">
        <f t="shared" si="11"/>
        <v>2</v>
      </c>
      <c r="AW37" s="95">
        <f t="shared" si="0"/>
        <v>2.6636793319959211</v>
      </c>
      <c r="AX37" s="95">
        <f t="shared" si="1"/>
        <v>3.5</v>
      </c>
      <c r="AY37" s="95">
        <f t="shared" si="2"/>
        <v>9.6621432084423251</v>
      </c>
      <c r="AZ37" s="95">
        <f t="shared" si="3"/>
        <v>16.994157207968332</v>
      </c>
      <c r="BA37" s="95">
        <f t="shared" si="4"/>
        <v>59.278019245676319</v>
      </c>
    </row>
    <row r="38" spans="3:53" ht="15.75" customHeight="1" thickBot="1" x14ac:dyDescent="0.3">
      <c r="C38" s="126"/>
      <c r="D38" s="127"/>
      <c r="E38" s="127"/>
      <c r="F38" s="127"/>
      <c r="G38" s="127"/>
      <c r="H38" s="127"/>
      <c r="I38" s="127"/>
      <c r="J38" s="127"/>
      <c r="K38" s="127"/>
      <c r="L38" s="127"/>
      <c r="M38" s="128"/>
      <c r="AF38" s="92"/>
      <c r="AK38" s="92"/>
      <c r="AO38" s="92"/>
    </row>
    <row r="39" spans="3:53" ht="15.75" x14ac:dyDescent="0.25">
      <c r="C39" s="119" t="s">
        <v>89</v>
      </c>
      <c r="D39" s="120"/>
      <c r="E39" s="77"/>
      <c r="F39" s="119" t="s">
        <v>93</v>
      </c>
      <c r="G39" s="120"/>
      <c r="H39" s="78"/>
      <c r="I39" s="119" t="s">
        <v>90</v>
      </c>
      <c r="J39" s="120"/>
      <c r="L39" s="148" t="s">
        <v>131</v>
      </c>
      <c r="M39" s="149"/>
      <c r="AF39" s="92"/>
      <c r="AK39" s="92"/>
      <c r="AO39" s="92"/>
    </row>
    <row r="40" spans="3:53" ht="15.75" x14ac:dyDescent="0.25">
      <c r="C40" s="121"/>
      <c r="D40" s="122"/>
      <c r="E40" s="77"/>
      <c r="F40" s="121"/>
      <c r="G40" s="122"/>
      <c r="H40" s="78"/>
      <c r="I40" s="121"/>
      <c r="J40" s="122"/>
      <c r="L40" s="150"/>
      <c r="M40" s="151"/>
      <c r="AF40" s="92"/>
      <c r="AK40" s="92"/>
      <c r="AO40" s="92"/>
    </row>
    <row r="41" spans="3:53" ht="18.75" thickBot="1" x14ac:dyDescent="0.3">
      <c r="C41" s="79" t="s">
        <v>34</v>
      </c>
      <c r="D41" s="80" t="s">
        <v>75</v>
      </c>
      <c r="F41" s="79" t="s">
        <v>34</v>
      </c>
      <c r="G41" s="80" t="s">
        <v>75</v>
      </c>
      <c r="I41" s="79" t="s">
        <v>34</v>
      </c>
      <c r="J41" s="80" t="s">
        <v>76</v>
      </c>
      <c r="L41" s="79" t="s">
        <v>34</v>
      </c>
      <c r="M41" s="80" t="s">
        <v>77</v>
      </c>
      <c r="AF41" s="92"/>
      <c r="AK41" s="92"/>
      <c r="AO41" s="92"/>
    </row>
    <row r="42" spans="3:53" ht="15.75" thickTop="1" x14ac:dyDescent="0.25">
      <c r="C42" s="81" t="s">
        <v>17</v>
      </c>
      <c r="D42" s="82" t="s">
        <v>79</v>
      </c>
      <c r="F42" s="81" t="s">
        <v>17</v>
      </c>
      <c r="G42" s="82" t="s">
        <v>79</v>
      </c>
      <c r="I42" s="81" t="s">
        <v>17</v>
      </c>
      <c r="J42" s="82" t="s">
        <v>79</v>
      </c>
      <c r="L42" s="81" t="s">
        <v>17</v>
      </c>
      <c r="M42" s="82" t="s">
        <v>15</v>
      </c>
      <c r="AF42" s="92"/>
      <c r="AK42" s="92"/>
      <c r="AO42" s="92"/>
    </row>
    <row r="43" spans="3:53" x14ac:dyDescent="0.25">
      <c r="C43" s="17">
        <f t="shared" ref="C43:C65" si="17">AB15/-1000</f>
        <v>1E-4</v>
      </c>
      <c r="D43" s="18">
        <f t="shared" ref="D43:D65" si="18">-1*AE15*1000</f>
        <v>100</v>
      </c>
      <c r="F43" s="17">
        <f t="shared" ref="F43:F65" si="19">AG15/-1000</f>
        <v>1E-4</v>
      </c>
      <c r="G43" s="18">
        <f t="shared" ref="G43:G65" si="20">-1*AJ15*1000</f>
        <v>100</v>
      </c>
      <c r="I43" s="17">
        <f t="shared" ref="I43:I65" si="21">AL15/-1000</f>
        <v>1E-4</v>
      </c>
      <c r="J43" s="18">
        <f t="shared" ref="J43:J65" si="22">-1*AN15*1000</f>
        <v>100</v>
      </c>
      <c r="L43" s="17">
        <f>AP24/1000</f>
        <v>-4.4999999999999998E-2</v>
      </c>
      <c r="M43" s="18">
        <f>AQ24*1000</f>
        <v>-434782.60869565216</v>
      </c>
      <c r="AF43" s="92"/>
      <c r="AK43" s="92"/>
      <c r="AO43" s="92"/>
    </row>
    <row r="44" spans="3:53" x14ac:dyDescent="0.25">
      <c r="C44" s="17">
        <f t="shared" si="17"/>
        <v>0</v>
      </c>
      <c r="D44" s="18">
        <f t="shared" si="18"/>
        <v>0</v>
      </c>
      <c r="F44" s="17">
        <f t="shared" si="19"/>
        <v>0</v>
      </c>
      <c r="G44" s="18">
        <f t="shared" si="20"/>
        <v>0</v>
      </c>
      <c r="I44" s="17">
        <f t="shared" si="21"/>
        <v>0</v>
      </c>
      <c r="J44" s="18">
        <f t="shared" si="22"/>
        <v>0</v>
      </c>
      <c r="L44" s="17">
        <f>AP25/1000</f>
        <v>-2.1739130434782609E-3</v>
      </c>
      <c r="M44" s="18">
        <f>AQ25*1000</f>
        <v>-434782.60869565216</v>
      </c>
      <c r="AF44" s="92"/>
      <c r="AK44" s="92"/>
      <c r="AO44" s="92"/>
    </row>
    <row r="45" spans="3:53" x14ac:dyDescent="0.25">
      <c r="C45" s="17">
        <f t="shared" si="17"/>
        <v>-1.331839665997961E-4</v>
      </c>
      <c r="D45" s="18">
        <f t="shared" si="18"/>
        <v>-3188.0730153330492</v>
      </c>
      <c r="F45" s="17">
        <f t="shared" si="19"/>
        <v>-1.9278019245676318E-4</v>
      </c>
      <c r="G45" s="18">
        <f t="shared" si="20"/>
        <v>-3912.0874126622325</v>
      </c>
      <c r="I45" s="17">
        <f t="shared" si="21"/>
        <v>-1E-4</v>
      </c>
      <c r="J45" s="18">
        <f t="shared" si="22"/>
        <v>-2762.5000000000009</v>
      </c>
      <c r="L45" s="17">
        <f>AP26/1000</f>
        <v>0</v>
      </c>
      <c r="M45" s="18">
        <f>AQ26*1000</f>
        <v>0</v>
      </c>
      <c r="AF45" s="92"/>
      <c r="AK45" s="92"/>
      <c r="AO45" s="92"/>
    </row>
    <row r="46" spans="3:53" x14ac:dyDescent="0.25">
      <c r="C46" s="17">
        <f t="shared" si="17"/>
        <v>-2.6636793319959219E-4</v>
      </c>
      <c r="D46" s="18">
        <f t="shared" si="18"/>
        <v>-6212.6551068028602</v>
      </c>
      <c r="F46" s="17">
        <f t="shared" si="19"/>
        <v>-3.8556038491352636E-4</v>
      </c>
      <c r="G46" s="18">
        <f t="shared" si="20"/>
        <v>-7502.1193297512591</v>
      </c>
      <c r="I46" s="17">
        <f t="shared" si="21"/>
        <v>-2.0000000000000001E-4</v>
      </c>
      <c r="J46" s="18">
        <f t="shared" si="22"/>
        <v>-5383.3333333333321</v>
      </c>
      <c r="L46" s="17">
        <f>AP27/1000</f>
        <v>2.1739130434782609E-3</v>
      </c>
      <c r="M46" s="18">
        <f>AQ27*1000</f>
        <v>434782.60869565216</v>
      </c>
      <c r="AF46" s="92"/>
      <c r="AK46" s="92"/>
      <c r="AL46" s="92"/>
      <c r="AM46" s="92"/>
      <c r="AN46" s="92"/>
      <c r="AO46" s="92"/>
    </row>
    <row r="47" spans="3:53" ht="15.75" thickBot="1" x14ac:dyDescent="0.3">
      <c r="C47" s="17">
        <f t="shared" si="17"/>
        <v>-3.9955189979938826E-4</v>
      </c>
      <c r="D47" s="18">
        <f t="shared" si="18"/>
        <v>-9073.7462744094464</v>
      </c>
      <c r="F47" s="17">
        <f t="shared" si="19"/>
        <v>-5.7834057737028959E-4</v>
      </c>
      <c r="G47" s="18">
        <f t="shared" si="20"/>
        <v>-10789.577584941328</v>
      </c>
      <c r="I47" s="17">
        <f t="shared" si="21"/>
        <v>-3.0000000000000003E-4</v>
      </c>
      <c r="J47" s="18">
        <f t="shared" si="22"/>
        <v>-7862.5000000000018</v>
      </c>
      <c r="L47" s="19">
        <f>AP28/1000</f>
        <v>4.4999999999999998E-2</v>
      </c>
      <c r="M47" s="20">
        <f>AQ28*1000</f>
        <v>434782.60869565216</v>
      </c>
    </row>
    <row r="48" spans="3:53" ht="15.75" thickBot="1" x14ac:dyDescent="0.3">
      <c r="C48" s="17">
        <f t="shared" si="17"/>
        <v>-5.3273586639918438E-4</v>
      </c>
      <c r="D48" s="18">
        <f t="shared" si="18"/>
        <v>-11771.346518152795</v>
      </c>
      <c r="F48" s="17">
        <f t="shared" si="19"/>
        <v>-7.7112076982705272E-4</v>
      </c>
      <c r="G48" s="18">
        <f t="shared" si="20"/>
        <v>-13792.403739030604</v>
      </c>
      <c r="I48" s="17">
        <f t="shared" si="21"/>
        <v>-4.0000000000000002E-4</v>
      </c>
      <c r="J48" s="18">
        <f t="shared" si="22"/>
        <v>-10199.999999999996</v>
      </c>
    </row>
    <row r="49" spans="3:13" x14ac:dyDescent="0.25">
      <c r="C49" s="17">
        <f t="shared" si="17"/>
        <v>-6.659198329989804E-4</v>
      </c>
      <c r="D49" s="18">
        <f t="shared" si="18"/>
        <v>-14305.455838032907</v>
      </c>
      <c r="F49" s="17">
        <f t="shared" si="19"/>
        <v>-9.6390096228381585E-4</v>
      </c>
      <c r="G49" s="18">
        <f t="shared" si="20"/>
        <v>-16527.148350858341</v>
      </c>
      <c r="I49" s="17">
        <f t="shared" si="21"/>
        <v>-5.0000000000000001E-4</v>
      </c>
      <c r="J49" s="18">
        <f t="shared" si="22"/>
        <v>-12395.833333333334</v>
      </c>
      <c r="L49" s="148" t="s">
        <v>132</v>
      </c>
      <c r="M49" s="149"/>
    </row>
    <row r="50" spans="3:13" x14ac:dyDescent="0.25">
      <c r="C50" s="17">
        <f t="shared" si="17"/>
        <v>-7.9910379959877641E-4</v>
      </c>
      <c r="D50" s="18">
        <f t="shared" si="18"/>
        <v>-16676.074234049789</v>
      </c>
      <c r="F50" s="17">
        <f t="shared" si="19"/>
        <v>-1.1566811547405792E-3</v>
      </c>
      <c r="G50" s="18">
        <f t="shared" si="20"/>
        <v>-19009.103218919809</v>
      </c>
      <c r="I50" s="17">
        <f t="shared" si="21"/>
        <v>-5.9999999999999995E-4</v>
      </c>
      <c r="J50" s="18">
        <f t="shared" si="22"/>
        <v>-14450.000000000002</v>
      </c>
      <c r="L50" s="150"/>
      <c r="M50" s="151"/>
    </row>
    <row r="51" spans="3:13" ht="18.75" thickBot="1" x14ac:dyDescent="0.3">
      <c r="C51" s="17">
        <f t="shared" si="17"/>
        <v>-9.3228776619857243E-4</v>
      </c>
      <c r="D51" s="18">
        <f t="shared" si="18"/>
        <v>-18883.201706203443</v>
      </c>
      <c r="F51" s="17">
        <f t="shared" si="19"/>
        <v>-1.3494613471973422E-3</v>
      </c>
      <c r="G51" s="18">
        <f t="shared" si="20"/>
        <v>-21252.418817937494</v>
      </c>
      <c r="I51" s="17">
        <f t="shared" si="21"/>
        <v>-6.9999999999999999E-4</v>
      </c>
      <c r="J51" s="18">
        <f t="shared" si="22"/>
        <v>-16362.499999999996</v>
      </c>
      <c r="L51" s="79" t="s">
        <v>34</v>
      </c>
      <c r="M51" s="80" t="s">
        <v>77</v>
      </c>
    </row>
    <row r="52" spans="3:13" ht="15.75" thickTop="1" x14ac:dyDescent="0.25">
      <c r="C52" s="17">
        <f t="shared" si="17"/>
        <v>-1.0654717327983686E-3</v>
      </c>
      <c r="D52" s="18">
        <f t="shared" si="18"/>
        <v>-20926.83825449385</v>
      </c>
      <c r="F52" s="17">
        <f t="shared" si="19"/>
        <v>-1.5422415396541054E-3</v>
      </c>
      <c r="G52" s="18">
        <f t="shared" si="20"/>
        <v>-23270.208828707095</v>
      </c>
      <c r="I52" s="17">
        <f t="shared" si="21"/>
        <v>-7.9999999999999993E-4</v>
      </c>
      <c r="J52" s="18">
        <f t="shared" si="22"/>
        <v>-18133.333333333328</v>
      </c>
      <c r="L52" s="81" t="s">
        <v>17</v>
      </c>
      <c r="M52" s="82" t="s">
        <v>15</v>
      </c>
    </row>
    <row r="53" spans="3:13" x14ac:dyDescent="0.25">
      <c r="C53" s="17">
        <f t="shared" si="17"/>
        <v>-1.1986556993981645E-3</v>
      </c>
      <c r="D53" s="18">
        <f t="shared" si="18"/>
        <v>-22806.983878921033</v>
      </c>
      <c r="F53" s="17">
        <f t="shared" si="19"/>
        <v>-1.7350217321108685E-3</v>
      </c>
      <c r="G53" s="18">
        <f t="shared" si="20"/>
        <v>-25074.643386364871</v>
      </c>
      <c r="I53" s="17">
        <f t="shared" si="21"/>
        <v>-8.9999999999999987E-4</v>
      </c>
      <c r="J53" s="18">
        <f t="shared" si="22"/>
        <v>-19762.5</v>
      </c>
      <c r="L53" s="17">
        <f>AS24/1000</f>
        <v>-4.4999999999999998E-2</v>
      </c>
      <c r="M53" s="18">
        <f>AT24*1000</f>
        <v>-469565.21739130438</v>
      </c>
    </row>
    <row r="54" spans="3:13" x14ac:dyDescent="0.25">
      <c r="C54" s="17">
        <f t="shared" si="17"/>
        <v>-1.3318396659979606E-3</v>
      </c>
      <c r="D54" s="18">
        <f t="shared" si="18"/>
        <v>-24523.638579484985</v>
      </c>
      <c r="F54" s="17">
        <f t="shared" si="19"/>
        <v>-1.9278019245676317E-3</v>
      </c>
      <c r="G54" s="18">
        <f t="shared" si="20"/>
        <v>-26677.032442491938</v>
      </c>
      <c r="I54" s="17">
        <f t="shared" si="21"/>
        <v>-9.999999999999998E-4</v>
      </c>
      <c r="J54" s="18">
        <f t="shared" si="22"/>
        <v>-21250</v>
      </c>
      <c r="L54" s="17">
        <f t="shared" ref="L54:L57" si="23">AS25/1000</f>
        <v>-2.1739130434782613E-3</v>
      </c>
      <c r="M54" s="18">
        <f t="shared" ref="M54:M57" si="24">AT25*1000</f>
        <v>-434782.60869565216</v>
      </c>
    </row>
    <row r="55" spans="3:13" x14ac:dyDescent="0.25">
      <c r="C55" s="17">
        <f t="shared" si="17"/>
        <v>-1.4650236325977565E-3</v>
      </c>
      <c r="D55" s="18">
        <f t="shared" si="18"/>
        <v>-26076.802356185704</v>
      </c>
      <c r="F55" s="17">
        <f t="shared" si="19"/>
        <v>-2.1205821170243947E-3</v>
      </c>
      <c r="G55" s="18">
        <f t="shared" si="20"/>
        <v>-28087.900442640861</v>
      </c>
      <c r="I55" s="17">
        <f t="shared" si="21"/>
        <v>-1.0999999999999998E-3</v>
      </c>
      <c r="J55" s="18">
        <f t="shared" si="22"/>
        <v>-22595.833333333328</v>
      </c>
      <c r="L55" s="17">
        <f t="shared" si="23"/>
        <v>0</v>
      </c>
      <c r="M55" s="18">
        <f t="shared" si="24"/>
        <v>0</v>
      </c>
    </row>
    <row r="56" spans="3:13" x14ac:dyDescent="0.25">
      <c r="C56" s="17">
        <f t="shared" si="17"/>
        <v>-1.5982075991975526E-3</v>
      </c>
      <c r="D56" s="18">
        <f t="shared" si="18"/>
        <v>-27466.475209023185</v>
      </c>
      <c r="F56" s="17">
        <f t="shared" si="19"/>
        <v>-2.3133623094811584E-3</v>
      </c>
      <c r="G56" s="18">
        <f t="shared" si="20"/>
        <v>-29317.053356811892</v>
      </c>
      <c r="I56" s="17">
        <f t="shared" si="21"/>
        <v>-1.1999999999999999E-3</v>
      </c>
      <c r="J56" s="18">
        <f t="shared" si="22"/>
        <v>-23799.999999999996</v>
      </c>
      <c r="L56" s="17">
        <f t="shared" si="23"/>
        <v>2.1739130434782613E-3</v>
      </c>
      <c r="M56" s="18">
        <f t="shared" si="24"/>
        <v>434782.60869565216</v>
      </c>
    </row>
    <row r="57" spans="3:13" ht="15.75" thickBot="1" x14ac:dyDescent="0.3">
      <c r="C57" s="17">
        <f t="shared" si="17"/>
        <v>-1.7313915657973487E-3</v>
      </c>
      <c r="D57" s="18">
        <f t="shared" si="18"/>
        <v>-28692.657137997434</v>
      </c>
      <c r="F57" s="17">
        <f t="shared" si="19"/>
        <v>-2.5061425019379216E-3</v>
      </c>
      <c r="G57" s="18">
        <f t="shared" si="20"/>
        <v>-30373.6389611247</v>
      </c>
      <c r="I57" s="17">
        <f t="shared" si="21"/>
        <v>-1.2999999999999999E-3</v>
      </c>
      <c r="J57" s="18">
        <f t="shared" si="22"/>
        <v>-24862.499999999996</v>
      </c>
      <c r="L57" s="19">
        <f t="shared" si="23"/>
        <v>4.4999999999999998E-2</v>
      </c>
      <c r="M57" s="20">
        <f t="shared" si="24"/>
        <v>469565.21739130438</v>
      </c>
    </row>
    <row r="58" spans="3:13" x14ac:dyDescent="0.25">
      <c r="C58" s="17">
        <f t="shared" si="17"/>
        <v>-1.8645755323971446E-3</v>
      </c>
      <c r="D58" s="18">
        <f t="shared" si="18"/>
        <v>-29755.348143108447</v>
      </c>
      <c r="F58" s="17">
        <f t="shared" si="19"/>
        <v>-2.6989226943946848E-3</v>
      </c>
      <c r="G58" s="18">
        <f t="shared" si="20"/>
        <v>-31266.201150338034</v>
      </c>
      <c r="I58" s="17">
        <f t="shared" si="21"/>
        <v>-1.4000000000000002E-3</v>
      </c>
      <c r="J58" s="18">
        <f t="shared" si="22"/>
        <v>-25783.333333333332</v>
      </c>
    </row>
    <row r="59" spans="3:13" x14ac:dyDescent="0.25">
      <c r="C59" s="17">
        <f t="shared" si="17"/>
        <v>-1.9977594989969405E-3</v>
      </c>
      <c r="D59" s="18">
        <f t="shared" si="18"/>
        <v>-30654.548224356233</v>
      </c>
      <c r="F59" s="17">
        <f t="shared" si="19"/>
        <v>-2.8917028868514481E-3</v>
      </c>
      <c r="G59" s="18">
        <f t="shared" si="20"/>
        <v>-32002.728959604981</v>
      </c>
      <c r="I59" s="17">
        <f t="shared" si="21"/>
        <v>-1.5000000000000002E-3</v>
      </c>
      <c r="J59" s="18">
        <f t="shared" si="22"/>
        <v>-26562.5</v>
      </c>
    </row>
    <row r="60" spans="3:13" x14ac:dyDescent="0.25">
      <c r="C60" s="17">
        <f t="shared" si="17"/>
        <v>-2.1309434655967371E-3</v>
      </c>
      <c r="D60" s="18">
        <f t="shared" si="18"/>
        <v>-31390.257381740783</v>
      </c>
      <c r="F60" s="17">
        <f t="shared" si="19"/>
        <v>-3.0844830793082118E-3</v>
      </c>
      <c r="G60" s="18">
        <f t="shared" si="20"/>
        <v>-32590.700887146893</v>
      </c>
      <c r="I60" s="17">
        <f t="shared" si="21"/>
        <v>-1.6000000000000003E-3</v>
      </c>
      <c r="J60" s="18">
        <f t="shared" si="22"/>
        <v>-27200.000000000004</v>
      </c>
    </row>
    <row r="61" spans="3:13" x14ac:dyDescent="0.25">
      <c r="C61" s="17">
        <f t="shared" si="17"/>
        <v>-2.2641274321965328E-3</v>
      </c>
      <c r="D61" s="18">
        <f t="shared" si="18"/>
        <v>-31962.475615262098</v>
      </c>
      <c r="F61" s="17">
        <f t="shared" si="19"/>
        <v>-3.277263271764975E-3</v>
      </c>
      <c r="G61" s="18">
        <f t="shared" si="20"/>
        <v>-33037.125035096054</v>
      </c>
      <c r="I61" s="17">
        <f t="shared" si="21"/>
        <v>-1.7000000000000003E-3</v>
      </c>
      <c r="J61" s="18">
        <f t="shared" si="22"/>
        <v>-27695.833333333328</v>
      </c>
    </row>
    <row r="62" spans="3:13" x14ac:dyDescent="0.25">
      <c r="C62" s="17">
        <f t="shared" si="17"/>
        <v>-2.3973113987963289E-3</v>
      </c>
      <c r="D62" s="18">
        <f t="shared" si="18"/>
        <v>-32371.202924920177</v>
      </c>
      <c r="F62" s="17">
        <f t="shared" si="19"/>
        <v>-3.4700434642217382E-3</v>
      </c>
      <c r="G62" s="18">
        <f t="shared" si="20"/>
        <v>-33348.575521694147</v>
      </c>
      <c r="I62" s="17">
        <f t="shared" si="21"/>
        <v>-1.8000000000000004E-3</v>
      </c>
      <c r="J62" s="18">
        <f t="shared" si="22"/>
        <v>-28050</v>
      </c>
    </row>
    <row r="63" spans="3:13" x14ac:dyDescent="0.25">
      <c r="C63" s="17">
        <f t="shared" si="17"/>
        <v>-2.530495365396125E-3</v>
      </c>
      <c r="D63" s="18">
        <f t="shared" si="18"/>
        <v>-32616.439310715032</v>
      </c>
      <c r="F63" s="17">
        <f t="shared" si="19"/>
        <v>-3.6628236566785019E-3</v>
      </c>
      <c r="G63" s="18">
        <f t="shared" si="20"/>
        <v>-33531.225562761581</v>
      </c>
      <c r="I63" s="17">
        <f t="shared" si="21"/>
        <v>-1.9000000000000006E-3</v>
      </c>
      <c r="J63" s="18">
        <f t="shared" si="22"/>
        <v>-28262.5</v>
      </c>
    </row>
    <row r="64" spans="3:13" x14ac:dyDescent="0.25">
      <c r="C64" s="17">
        <f t="shared" si="17"/>
        <v>-2.6636793319959212E-3</v>
      </c>
      <c r="D64" s="18">
        <f t="shared" si="18"/>
        <v>-32698.184772646648</v>
      </c>
      <c r="F64" s="17">
        <f t="shared" si="19"/>
        <v>-3.8556038491352651E-3</v>
      </c>
      <c r="G64" s="18">
        <f t="shared" si="20"/>
        <v>-33590.877572549914</v>
      </c>
      <c r="I64" s="17">
        <f t="shared" si="21"/>
        <v>-2.0000000000000005E-3</v>
      </c>
      <c r="J64" s="18">
        <f t="shared" si="22"/>
        <v>-28333.333333333332</v>
      </c>
    </row>
    <row r="65" spans="3:10" ht="15.75" thickBot="1" x14ac:dyDescent="0.3">
      <c r="C65" s="19">
        <f t="shared" si="17"/>
        <v>-9.6621432084423257E-3</v>
      </c>
      <c r="D65" s="20">
        <f t="shared" si="18"/>
        <v>-27793.457056749648</v>
      </c>
      <c r="F65" s="19">
        <f t="shared" si="19"/>
        <v>-1.6994157207968333E-2</v>
      </c>
      <c r="G65" s="20">
        <f t="shared" si="20"/>
        <v>-28552.24593666743</v>
      </c>
      <c r="I65" s="19">
        <f t="shared" si="21"/>
        <v>-3.5000000000000001E-3</v>
      </c>
      <c r="J65" s="20">
        <f t="shared" si="22"/>
        <v>-28333.333333333332</v>
      </c>
    </row>
  </sheetData>
  <sheetProtection selectLockedCells="1" selectUnlockedCells="1"/>
  <dataConsolidate/>
  <mergeCells count="32">
    <mergeCell ref="C39:D40"/>
    <mergeCell ref="F39:G40"/>
    <mergeCell ref="I39:J40"/>
    <mergeCell ref="L39:M40"/>
    <mergeCell ref="L49:M50"/>
    <mergeCell ref="C37:M38"/>
    <mergeCell ref="J16:J17"/>
    <mergeCell ref="AP21:AQ21"/>
    <mergeCell ref="AS21:AT21"/>
    <mergeCell ref="C23:E23"/>
    <mergeCell ref="F23:H23"/>
    <mergeCell ref="I23:K23"/>
    <mergeCell ref="D24:E26"/>
    <mergeCell ref="G24:H26"/>
    <mergeCell ref="J24:K26"/>
    <mergeCell ref="C28:F28"/>
    <mergeCell ref="H28:K28"/>
    <mergeCell ref="C8:C9"/>
    <mergeCell ref="AP10:AQ10"/>
    <mergeCell ref="AS10:AT10"/>
    <mergeCell ref="C12:H12"/>
    <mergeCell ref="AB12:AE12"/>
    <mergeCell ref="AG12:AJ12"/>
    <mergeCell ref="AL12:AN12"/>
    <mergeCell ref="AP12:AQ12"/>
    <mergeCell ref="AS12:AT12"/>
    <mergeCell ref="C1:D1"/>
    <mergeCell ref="C2:Q2"/>
    <mergeCell ref="C3:C4"/>
    <mergeCell ref="D3:D4"/>
    <mergeCell ref="C7:J7"/>
    <mergeCell ref="L7:N7"/>
  </mergeCells>
  <conditionalFormatting sqref="D24:E26">
    <cfRule type="containsText" dxfId="5" priority="3" operator="containsText" text="Pass">
      <formula>NOT(ISERROR(SEARCH("Pass",D24)))</formula>
    </cfRule>
  </conditionalFormatting>
  <conditionalFormatting sqref="G24:H26">
    <cfRule type="containsText" dxfId="4" priority="2" operator="containsText" text="Pass">
      <formula>NOT(ISERROR(SEARCH("Pass",G24)))</formula>
    </cfRule>
  </conditionalFormatting>
  <conditionalFormatting sqref="J24:K26">
    <cfRule type="containsText" dxfId="3"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E176C59F-2D8B-413F-88C0-6C19AA776DC1}">
          <x14:formula1>
            <xm:f>Data!$C$18:$C$20</xm:f>
          </x14:formula1>
          <xm:sqref>C10</xm:sqref>
        </x14:dataValidation>
        <x14:dataValidation type="list" allowBlank="1" showInputMessage="1" showErrorMessage="1" xr:uid="{C924B7E0-BB73-4C05-8F09-945ECBA60070}">
          <x14:formula1>
            <xm:f>Data!$C$5:$C$13</xm:f>
          </x14:formula1>
          <xm:sqref>C5</xm:sqref>
        </x14:dataValidation>
        <x14:dataValidation type="list" allowBlank="1" showInputMessage="1" showErrorMessage="1" xr:uid="{5CED1CD6-A740-4863-8647-F0CE91A52FC5}">
          <x14:formula1>
            <xm:f>Data!$C$23:$C$33</xm:f>
          </x14:formula1>
          <xm:sqref>C18 C21</xm:sqref>
        </x14:dataValidation>
        <x14:dataValidation type="list" allowBlank="1" showInputMessage="1" showErrorMessage="1" xr:uid="{8DE1B4D0-0BAF-4391-9473-DAA31827AF3B}">
          <x14:formula1>
            <xm:f>Data!$D$23:$D$29</xm:f>
          </x14:formula1>
          <xm:sqref>D18:E18</xm:sqref>
        </x14:dataValidation>
        <x14:dataValidation type="list" allowBlank="1" showInputMessage="1" showErrorMessage="1" xr:uid="{404F0E48-9339-4294-B4B5-D06A96A1B1E0}">
          <x14:formula1>
            <xm:f>Data!$E$23:$E$29</xm:f>
          </x14:formula1>
          <xm:sqref>D21</xm:sqref>
        </x14:dataValidation>
        <x14:dataValidation type="list" showInputMessage="1" showErrorMessage="1" xr:uid="{EFC758DD-1908-4C25-8836-60A5A880DDC7}">
          <x14:formula1>
            <xm:f>Data!$F$23:$F$24</xm:f>
          </x14:formula1>
          <xm:sqref>J18</xm:sqref>
        </x14:dataValidation>
        <x14:dataValidation type="list" allowBlank="1" showInputMessage="1" showErrorMessage="1" xr:uid="{87E6FF4C-934A-4733-9157-2EAFC2A36E41}">
          <x14:formula1>
            <xm:f>Data!$G$23:$G$24</xm:f>
          </x14:formula1>
          <xm:sqref>H15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E9211-57CF-41DA-B47B-9D9BEC3A7B67}">
  <dimension ref="C1:BA65"/>
  <sheetViews>
    <sheetView topLeftCell="V4" zoomScaleNormal="100" workbookViewId="0">
      <selection activeCell="M26" sqref="M26"/>
    </sheetView>
  </sheetViews>
  <sheetFormatPr defaultRowHeight="15" x14ac:dyDescent="0.25"/>
  <cols>
    <col min="1" max="2" width="9.7109375" style="95" customWidth="1"/>
    <col min="3" max="17" width="12.7109375" style="95" customWidth="1"/>
    <col min="18" max="46" width="10.7109375" style="95" customWidth="1"/>
    <col min="47" max="16384" width="9.140625" style="95"/>
  </cols>
  <sheetData>
    <row r="1" spans="3:53" ht="15.75" thickBot="1" x14ac:dyDescent="0.3">
      <c r="C1" s="107"/>
      <c r="D1" s="107"/>
    </row>
    <row r="2" spans="3:53" ht="15.75" thickBot="1" x14ac:dyDescent="0.3">
      <c r="C2" s="116" t="s">
        <v>65</v>
      </c>
      <c r="D2" s="117"/>
      <c r="E2" s="117"/>
      <c r="F2" s="117"/>
      <c r="G2" s="117"/>
      <c r="H2" s="117"/>
      <c r="I2" s="117"/>
      <c r="J2" s="117"/>
      <c r="K2" s="117"/>
      <c r="L2" s="117"/>
      <c r="M2" s="117"/>
      <c r="N2" s="117"/>
      <c r="O2" s="117"/>
      <c r="P2" s="117"/>
      <c r="Q2" s="118"/>
    </row>
    <row r="3" spans="3:53" x14ac:dyDescent="0.25">
      <c r="C3" s="108" t="s">
        <v>39</v>
      </c>
      <c r="D3" s="110" t="s">
        <v>78</v>
      </c>
      <c r="E3" s="35" t="s">
        <v>4</v>
      </c>
      <c r="F3" s="35" t="s">
        <v>5</v>
      </c>
      <c r="G3" s="35" t="s">
        <v>6</v>
      </c>
      <c r="H3" s="35" t="s">
        <v>60</v>
      </c>
      <c r="I3" s="35" t="s">
        <v>7</v>
      </c>
      <c r="J3" s="35" t="s">
        <v>8</v>
      </c>
      <c r="K3" s="35" t="s">
        <v>9</v>
      </c>
      <c r="L3" s="35" t="s">
        <v>10</v>
      </c>
      <c r="M3" s="36" t="s">
        <v>11</v>
      </c>
      <c r="N3" s="35" t="s">
        <v>12</v>
      </c>
      <c r="O3" s="35" t="s">
        <v>13</v>
      </c>
      <c r="P3" s="35" t="s">
        <v>50</v>
      </c>
      <c r="Q3" s="37" t="s">
        <v>0</v>
      </c>
    </row>
    <row r="4" spans="3:53" ht="15.75" thickBot="1" x14ac:dyDescent="0.3">
      <c r="C4" s="109"/>
      <c r="D4" s="111"/>
      <c r="E4" s="38" t="s">
        <v>15</v>
      </c>
      <c r="F4" s="38" t="s">
        <v>15</v>
      </c>
      <c r="G4" s="38" t="s">
        <v>16</v>
      </c>
      <c r="H4" s="38" t="s">
        <v>16</v>
      </c>
      <c r="I4" s="38" t="s">
        <v>17</v>
      </c>
      <c r="J4" s="38" t="s">
        <v>17</v>
      </c>
      <c r="K4" s="38" t="s">
        <v>17</v>
      </c>
      <c r="L4" s="38" t="s">
        <v>17</v>
      </c>
      <c r="M4" s="38" t="s">
        <v>14</v>
      </c>
      <c r="N4" s="38" t="s">
        <v>17</v>
      </c>
      <c r="O4" s="38" t="s">
        <v>17</v>
      </c>
      <c r="P4" s="38" t="s">
        <v>17</v>
      </c>
      <c r="Q4" s="39" t="s">
        <v>14</v>
      </c>
    </row>
    <row r="5" spans="3:53" ht="16.5" thickTop="1" thickBot="1" x14ac:dyDescent="0.3">
      <c r="C5" s="40" t="s">
        <v>26</v>
      </c>
      <c r="D5" s="8">
        <f>VLOOKUP(C5,Data!C5:O13,2,FALSE)</f>
        <v>60</v>
      </c>
      <c r="E5" s="8">
        <f>VLOOKUP(C5,Data!C5:P13,3,FALSE)</f>
        <v>50</v>
      </c>
      <c r="F5" s="8">
        <f>VLOOKUP(C5,Data!C5:P13,4,FALSE)</f>
        <v>58</v>
      </c>
      <c r="G5" s="8">
        <f>VLOOKUP(C5,Data!C5:P13,5,FALSE)</f>
        <v>37</v>
      </c>
      <c r="H5" s="8">
        <f>VLOOKUP(C5,Data!C5:P13,6,FALSE)</f>
        <v>35.569985361754661</v>
      </c>
      <c r="I5" s="8">
        <f>VLOOKUP(C5,Data!C5:P13,7,FALSE)</f>
        <v>2.4500000000000002</v>
      </c>
      <c r="J5" s="8">
        <f>VLOOKUP(C5,Data!C5:P13,8,FALSE)</f>
        <v>3.5</v>
      </c>
      <c r="K5" s="25">
        <f>VLOOKUP(C5,Data!C5:P13,9,FALSE)</f>
        <v>2</v>
      </c>
      <c r="L5" s="26">
        <f>VLOOKUP(C5,Data!C5:P13,10,FALSE)</f>
        <v>3.5</v>
      </c>
      <c r="M5" s="8">
        <f>VLOOKUP('WR03-06 CW'!C5,Data!C5:P13,11,FALSE)</f>
        <v>2</v>
      </c>
      <c r="N5" s="8">
        <f>VLOOKUP(C5,Data!C5:P13,12,FALSE)</f>
        <v>1.75</v>
      </c>
      <c r="O5" s="8">
        <f>VLOOKUP(C5,Data!C5:P13,13,FALSE)</f>
        <v>3.5</v>
      </c>
      <c r="P5" s="8">
        <f>VLOOKUP(C5,Data!C5:P13,14,FALSE)</f>
        <v>2.4324324324324325</v>
      </c>
      <c r="Q5" s="41">
        <f>1.05*H5*I31/H31</f>
        <v>2.4292471801627014</v>
      </c>
    </row>
    <row r="6" spans="3:53" ht="15.75" thickBot="1" x14ac:dyDescent="0.3"/>
    <row r="7" spans="3:53" x14ac:dyDescent="0.25">
      <c r="C7" s="112" t="s">
        <v>41</v>
      </c>
      <c r="D7" s="113"/>
      <c r="E7" s="113"/>
      <c r="F7" s="113"/>
      <c r="G7" s="113"/>
      <c r="H7" s="113"/>
      <c r="I7" s="114"/>
      <c r="J7" s="115"/>
      <c r="L7" s="112" t="s">
        <v>46</v>
      </c>
      <c r="M7" s="113"/>
      <c r="N7" s="115"/>
      <c r="O7" s="42"/>
    </row>
    <row r="8" spans="3:53" ht="18" x14ac:dyDescent="0.25">
      <c r="C8" s="132" t="s">
        <v>39</v>
      </c>
      <c r="D8" s="91" t="s">
        <v>44</v>
      </c>
      <c r="E8" s="91" t="s">
        <v>45</v>
      </c>
      <c r="F8" s="91" t="s">
        <v>0</v>
      </c>
      <c r="G8" s="3" t="s">
        <v>27</v>
      </c>
      <c r="H8" s="3" t="s">
        <v>42</v>
      </c>
      <c r="I8" s="3" t="s">
        <v>80</v>
      </c>
      <c r="J8" s="43" t="s">
        <v>81</v>
      </c>
      <c r="L8" s="44" t="s">
        <v>47</v>
      </c>
      <c r="M8" s="45" t="s">
        <v>69</v>
      </c>
      <c r="N8" s="46" t="s">
        <v>48</v>
      </c>
    </row>
    <row r="9" spans="3:53" ht="15.75" thickBot="1" x14ac:dyDescent="0.3">
      <c r="C9" s="109"/>
      <c r="D9" s="38" t="s">
        <v>15</v>
      </c>
      <c r="E9" s="38" t="s">
        <v>15</v>
      </c>
      <c r="F9" s="38" t="s">
        <v>14</v>
      </c>
      <c r="G9" s="38" t="s">
        <v>16</v>
      </c>
      <c r="H9" s="38" t="s">
        <v>17</v>
      </c>
      <c r="I9" s="38" t="s">
        <v>17</v>
      </c>
      <c r="J9" s="39" t="s">
        <v>17</v>
      </c>
      <c r="L9" s="47" t="s">
        <v>14</v>
      </c>
      <c r="M9" s="48" t="s">
        <v>14</v>
      </c>
      <c r="N9" s="49" t="s">
        <v>14</v>
      </c>
    </row>
    <row r="10" spans="3:53" ht="16.5" thickTop="1" thickBot="1" x14ac:dyDescent="0.3">
      <c r="C10" s="40" t="s">
        <v>29</v>
      </c>
      <c r="D10" s="8">
        <f>VLOOKUP(C10,Data!C18:J20,2,FALSE)</f>
        <v>500</v>
      </c>
      <c r="E10" s="8">
        <f>VLOOKUP(C10,Data!C18:J20,3,FALSE)</f>
        <v>540</v>
      </c>
      <c r="F10" s="8">
        <f>VLOOKUP(C10,Data!C18:J20,4,FALSE)</f>
        <v>1.08</v>
      </c>
      <c r="G10" s="8">
        <f>VLOOKUP(C10,Data!C18:J20,5,FALSE)</f>
        <v>200</v>
      </c>
      <c r="H10" s="8">
        <f>VLOOKUP(C10,Data!C18:J20,6,FALSE)</f>
        <v>2.5</v>
      </c>
      <c r="I10" s="50">
        <f>VLOOKUP(C10,Data!C18:J20,7,FALSE)</f>
        <v>50</v>
      </c>
      <c r="J10" s="41">
        <f>VLOOKUP(C10,Data!C18:J20,8,FALSE)</f>
        <v>45</v>
      </c>
      <c r="L10" s="40">
        <v>1.5</v>
      </c>
      <c r="M10" s="51">
        <v>1.1499999999999999</v>
      </c>
      <c r="N10" s="52">
        <v>0.85</v>
      </c>
      <c r="AP10" s="147" t="s">
        <v>129</v>
      </c>
      <c r="AQ10" s="147"/>
      <c r="AS10" s="147" t="s">
        <v>130</v>
      </c>
      <c r="AT10" s="147"/>
    </row>
    <row r="11" spans="3:53" ht="15.75" thickBot="1" x14ac:dyDescent="0.3"/>
    <row r="12" spans="3:53" x14ac:dyDescent="0.25">
      <c r="C12" s="136" t="s">
        <v>49</v>
      </c>
      <c r="D12" s="137"/>
      <c r="E12" s="137"/>
      <c r="F12" s="137"/>
      <c r="G12" s="137"/>
      <c r="H12" s="138"/>
      <c r="AB12" s="133" t="s">
        <v>86</v>
      </c>
      <c r="AC12" s="133"/>
      <c r="AD12" s="133"/>
      <c r="AE12" s="133"/>
      <c r="AF12" s="53"/>
      <c r="AG12" s="133" t="s">
        <v>88</v>
      </c>
      <c r="AH12" s="133"/>
      <c r="AI12" s="133"/>
      <c r="AJ12" s="133"/>
      <c r="AK12" s="53"/>
      <c r="AL12" s="133" t="s">
        <v>87</v>
      </c>
      <c r="AM12" s="133"/>
      <c r="AN12" s="133"/>
      <c r="AO12" s="53"/>
      <c r="AP12" s="133" t="s">
        <v>70</v>
      </c>
      <c r="AQ12" s="133"/>
      <c r="AR12" s="53"/>
      <c r="AS12" s="133" t="s">
        <v>70</v>
      </c>
      <c r="AT12" s="133"/>
    </row>
    <row r="13" spans="3:53" ht="18" x14ac:dyDescent="0.25">
      <c r="C13" s="54" t="s">
        <v>1</v>
      </c>
      <c r="D13" s="55" t="s">
        <v>2</v>
      </c>
      <c r="E13" s="55" t="s">
        <v>3</v>
      </c>
      <c r="F13" s="55" t="s">
        <v>54</v>
      </c>
      <c r="G13" s="55" t="s">
        <v>55</v>
      </c>
      <c r="H13" s="93" t="s">
        <v>106</v>
      </c>
      <c r="AB13" s="45" t="s">
        <v>34</v>
      </c>
      <c r="AC13" s="45" t="s">
        <v>35</v>
      </c>
      <c r="AD13" s="45" t="s">
        <v>68</v>
      </c>
      <c r="AE13" s="45" t="s">
        <v>74</v>
      </c>
      <c r="AF13" s="57"/>
      <c r="AG13" s="45" t="s">
        <v>34</v>
      </c>
      <c r="AH13" s="45" t="s">
        <v>35</v>
      </c>
      <c r="AI13" s="45" t="s">
        <v>68</v>
      </c>
      <c r="AJ13" s="45" t="s">
        <v>74</v>
      </c>
      <c r="AK13" s="57"/>
      <c r="AL13" s="45" t="s">
        <v>34</v>
      </c>
      <c r="AM13" s="45" t="s">
        <v>67</v>
      </c>
      <c r="AN13" s="45" t="s">
        <v>73</v>
      </c>
      <c r="AO13" s="57"/>
      <c r="AP13" s="45" t="s">
        <v>34</v>
      </c>
      <c r="AQ13" s="45" t="s">
        <v>71</v>
      </c>
      <c r="AR13" s="57"/>
      <c r="AS13" s="45" t="s">
        <v>34</v>
      </c>
      <c r="AT13" s="45" t="s">
        <v>71</v>
      </c>
    </row>
    <row r="14" spans="3:53" ht="15.75" thickBot="1" x14ac:dyDescent="0.3">
      <c r="C14" s="58" t="s">
        <v>31</v>
      </c>
      <c r="D14" s="59" t="s">
        <v>31</v>
      </c>
      <c r="E14" s="59" t="s">
        <v>31</v>
      </c>
      <c r="F14" s="59" t="s">
        <v>31</v>
      </c>
      <c r="G14" s="59" t="s">
        <v>31</v>
      </c>
      <c r="H14" s="60" t="s">
        <v>14</v>
      </c>
      <c r="AB14" s="38" t="s">
        <v>17</v>
      </c>
      <c r="AC14" s="48" t="s">
        <v>14</v>
      </c>
      <c r="AD14" s="48" t="s">
        <v>15</v>
      </c>
      <c r="AE14" s="48" t="s">
        <v>15</v>
      </c>
      <c r="AF14" s="92"/>
      <c r="AG14" s="38" t="s">
        <v>17</v>
      </c>
      <c r="AH14" s="48" t="s">
        <v>14</v>
      </c>
      <c r="AI14" s="48" t="s">
        <v>15</v>
      </c>
      <c r="AJ14" s="48" t="s">
        <v>15</v>
      </c>
      <c r="AK14" s="92"/>
      <c r="AL14" s="38" t="s">
        <v>17</v>
      </c>
      <c r="AM14" s="48" t="s">
        <v>15</v>
      </c>
      <c r="AN14" s="48" t="s">
        <v>15</v>
      </c>
      <c r="AO14" s="92"/>
      <c r="AP14" s="38" t="s">
        <v>17</v>
      </c>
      <c r="AQ14" s="48" t="s">
        <v>15</v>
      </c>
      <c r="AR14" s="92"/>
      <c r="AS14" s="38" t="s">
        <v>17</v>
      </c>
      <c r="AT14" s="48" t="s">
        <v>15</v>
      </c>
    </row>
    <row r="15" spans="3:53" ht="16.5" thickTop="1" thickBot="1" x14ac:dyDescent="0.3">
      <c r="C15" s="61">
        <v>1220</v>
      </c>
      <c r="D15" s="62">
        <v>400</v>
      </c>
      <c r="E15" s="62">
        <v>35</v>
      </c>
      <c r="F15" s="22">
        <f>C15-2*E15-C21</f>
        <v>1142</v>
      </c>
      <c r="G15" s="22">
        <f>D15-2*E15-C21</f>
        <v>322</v>
      </c>
      <c r="H15" s="63" t="s">
        <v>108</v>
      </c>
      <c r="AB15" s="7">
        <v>-0.1</v>
      </c>
      <c r="AC15" s="7">
        <v>0</v>
      </c>
      <c r="AD15" s="7">
        <v>-0.1</v>
      </c>
      <c r="AE15" s="7">
        <f>-0.1</f>
        <v>-0.1</v>
      </c>
      <c r="AF15" s="92"/>
      <c r="AG15" s="7">
        <v>-0.1</v>
      </c>
      <c r="AH15" s="7">
        <v>0</v>
      </c>
      <c r="AI15" s="7">
        <v>-0.1</v>
      </c>
      <c r="AJ15" s="7">
        <f>-0.1</f>
        <v>-0.1</v>
      </c>
      <c r="AK15" s="92"/>
      <c r="AL15" s="7">
        <v>-0.1</v>
      </c>
      <c r="AM15" s="7">
        <v>-0.1</v>
      </c>
      <c r="AN15" s="7">
        <f>-0.1</f>
        <v>-0.1</v>
      </c>
      <c r="AO15" s="92"/>
      <c r="AP15" s="7">
        <f>-1*J10</f>
        <v>-45</v>
      </c>
      <c r="AQ15" s="7">
        <f>-D10</f>
        <v>-500</v>
      </c>
      <c r="AR15" s="92"/>
      <c r="AS15" s="7">
        <f>-1*J10</f>
        <v>-45</v>
      </c>
      <c r="AT15" s="7">
        <f>-1*E10</f>
        <v>-540</v>
      </c>
      <c r="AV15" s="95">
        <f>$K$5</f>
        <v>2</v>
      </c>
      <c r="AW15" s="95">
        <f t="shared" ref="AW15:AW37" si="0">$AB$36</f>
        <v>2.6636793319959211</v>
      </c>
      <c r="AX15" s="95">
        <f t="shared" ref="AX15:AX37" si="1">$AL$37</f>
        <v>3.5</v>
      </c>
      <c r="AY15" s="95">
        <f t="shared" ref="AY15:AY37" si="2">$AB$37</f>
        <v>9.6621432084423251</v>
      </c>
      <c r="AZ15" s="95">
        <f t="shared" ref="AZ15:AZ37" si="3">$AG$37</f>
        <v>16.994157207968332</v>
      </c>
      <c r="BA15" s="95">
        <f t="shared" ref="BA15:BA37" si="4">$AI$36</f>
        <v>59.278019245676319</v>
      </c>
    </row>
    <row r="16" spans="3:53" ht="18" customHeight="1" x14ac:dyDescent="0.25">
      <c r="C16" s="64" t="s">
        <v>83</v>
      </c>
      <c r="D16" s="65" t="s">
        <v>84</v>
      </c>
      <c r="E16" s="65" t="s">
        <v>85</v>
      </c>
      <c r="F16" s="65" t="s">
        <v>117</v>
      </c>
      <c r="G16" s="65" t="s">
        <v>118</v>
      </c>
      <c r="H16" s="65" t="s">
        <v>52</v>
      </c>
      <c r="I16" s="65" t="s">
        <v>53</v>
      </c>
      <c r="J16" s="134" t="s">
        <v>99</v>
      </c>
      <c r="K16" s="65" t="s">
        <v>95</v>
      </c>
      <c r="L16" s="65" t="s">
        <v>96</v>
      </c>
      <c r="M16" s="65" t="s">
        <v>104</v>
      </c>
      <c r="N16" s="66" t="s">
        <v>105</v>
      </c>
      <c r="O16" s="27"/>
      <c r="P16" s="27"/>
      <c r="Q16" s="27"/>
      <c r="R16" s="27"/>
      <c r="S16" s="27"/>
      <c r="T16" s="27"/>
      <c r="U16" s="27"/>
      <c r="V16" s="27"/>
      <c r="AB16" s="91">
        <v>0</v>
      </c>
      <c r="AC16" s="91">
        <f t="shared" ref="AC16:AC36" si="5">AB16/$D$31</f>
        <v>0</v>
      </c>
      <c r="AD16" s="91">
        <f t="shared" ref="AD16:AD36" si="6">IF(AB16&lt;=$AB$36,$C$31*(1-(1-AB16/$AB$36)^$M$5),$C$31)</f>
        <v>0</v>
      </c>
      <c r="AE16" s="91">
        <f>AD16*$N$10/$L$10</f>
        <v>0</v>
      </c>
      <c r="AF16" s="92"/>
      <c r="AG16" s="91">
        <v>0</v>
      </c>
      <c r="AH16" s="91">
        <f t="shared" ref="AH16:AH36" si="7">AG16/$I$31</f>
        <v>0</v>
      </c>
      <c r="AI16" s="91">
        <f t="shared" ref="AI16:AI36" si="8">IF(AG16&lt;=$AG$36,$H$31*AH16*($Q$5-AH16)/(1+($Q$5-2)*AH16))</f>
        <v>0</v>
      </c>
      <c r="AJ16" s="91">
        <f>AI16*$N$10/$L$10</f>
        <v>0</v>
      </c>
      <c r="AK16" s="92"/>
      <c r="AL16" s="91">
        <v>0</v>
      </c>
      <c r="AM16" s="91">
        <f t="shared" ref="AM16:AM36" si="9">$E$5*(1-(1-AL16/$K$5)^$M$5)</f>
        <v>0</v>
      </c>
      <c r="AN16" s="91">
        <f t="shared" ref="AN16:AN37" si="10">AM16*$N$10/$L$10</f>
        <v>0</v>
      </c>
      <c r="AO16" s="92"/>
      <c r="AP16" s="91">
        <f>-1*D10/G10</f>
        <v>-2.5</v>
      </c>
      <c r="AQ16" s="91">
        <f>AQ15</f>
        <v>-500</v>
      </c>
      <c r="AR16" s="92"/>
      <c r="AS16" s="91">
        <f>-1*H10</f>
        <v>-2.5</v>
      </c>
      <c r="AT16" s="91">
        <f>-1*D10</f>
        <v>-500</v>
      </c>
      <c r="AV16" s="95">
        <f t="shared" ref="AV16:AV37" si="11">$K$5</f>
        <v>2</v>
      </c>
      <c r="AW16" s="95">
        <f t="shared" si="0"/>
        <v>2.6636793319959211</v>
      </c>
      <c r="AX16" s="95">
        <f t="shared" si="1"/>
        <v>3.5</v>
      </c>
      <c r="AY16" s="95">
        <f t="shared" si="2"/>
        <v>9.6621432084423251</v>
      </c>
      <c r="AZ16" s="95">
        <f t="shared" si="3"/>
        <v>16.994157207968332</v>
      </c>
      <c r="BA16" s="95">
        <f t="shared" si="4"/>
        <v>59.278019245676319</v>
      </c>
    </row>
    <row r="17" spans="3:53" ht="15.75" thickBot="1" x14ac:dyDescent="0.3">
      <c r="C17" s="58" t="s">
        <v>31</v>
      </c>
      <c r="D17" s="59" t="s">
        <v>31</v>
      </c>
      <c r="E17" s="59" t="s">
        <v>31</v>
      </c>
      <c r="F17" s="59" t="s">
        <v>14</v>
      </c>
      <c r="G17" s="59" t="s">
        <v>14</v>
      </c>
      <c r="H17" s="59" t="s">
        <v>31</v>
      </c>
      <c r="I17" s="59" t="s">
        <v>31</v>
      </c>
      <c r="J17" s="135"/>
      <c r="K17" s="59" t="s">
        <v>31</v>
      </c>
      <c r="L17" s="59" t="s">
        <v>31</v>
      </c>
      <c r="M17" s="59" t="s">
        <v>14</v>
      </c>
      <c r="N17" s="60" t="s">
        <v>14</v>
      </c>
      <c r="O17" s="27"/>
      <c r="P17" s="27"/>
      <c r="Q17" s="27"/>
      <c r="R17" s="27"/>
      <c r="S17" s="27"/>
      <c r="T17" s="27"/>
      <c r="U17" s="27"/>
      <c r="V17" s="27"/>
      <c r="AB17" s="91">
        <f t="shared" ref="AB17:AB36" si="12">AB16+$D$31/20</f>
        <v>0.13318396659979609</v>
      </c>
      <c r="AC17" s="91">
        <f t="shared" si="5"/>
        <v>4.9999999999999996E-2</v>
      </c>
      <c r="AD17" s="91">
        <f t="shared" si="6"/>
        <v>5.6260112035289103</v>
      </c>
      <c r="AE17" s="91">
        <f t="shared" ref="AE17:AE37" si="13">AD17*$N$10/$L$10</f>
        <v>3.1880730153330492</v>
      </c>
      <c r="AF17" s="92"/>
      <c r="AG17" s="91">
        <f t="shared" ref="AG17:AG36" si="14">AG16+$I$31/20</f>
        <v>0.19278019245676317</v>
      </c>
      <c r="AH17" s="91">
        <f t="shared" si="7"/>
        <v>0.05</v>
      </c>
      <c r="AI17" s="91">
        <f t="shared" si="8"/>
        <v>6.9036836694039394</v>
      </c>
      <c r="AJ17" s="91">
        <f t="shared" ref="AJ17:AJ37" si="15">AI17*$N$10/$L$10</f>
        <v>3.9120874126622325</v>
      </c>
      <c r="AK17" s="92"/>
      <c r="AL17" s="91">
        <f t="shared" ref="AL17:AL36" si="16">AL16+$K$5/20</f>
        <v>0.1</v>
      </c>
      <c r="AM17" s="91">
        <f t="shared" si="9"/>
        <v>4.8750000000000018</v>
      </c>
      <c r="AN17" s="91">
        <f t="shared" si="10"/>
        <v>2.7625000000000011</v>
      </c>
      <c r="AO17" s="92"/>
      <c r="AP17" s="91">
        <f>0</f>
        <v>0</v>
      </c>
      <c r="AQ17" s="91">
        <f>0</f>
        <v>0</v>
      </c>
      <c r="AR17" s="92"/>
      <c r="AS17" s="91">
        <f>0</f>
        <v>0</v>
      </c>
      <c r="AT17" s="91">
        <f>0</f>
        <v>0</v>
      </c>
      <c r="AV17" s="95">
        <f t="shared" si="11"/>
        <v>2</v>
      </c>
      <c r="AW17" s="95">
        <f t="shared" si="0"/>
        <v>2.6636793319959211</v>
      </c>
      <c r="AX17" s="95">
        <f t="shared" si="1"/>
        <v>3.5</v>
      </c>
      <c r="AY17" s="95">
        <f t="shared" si="2"/>
        <v>9.6621432084423251</v>
      </c>
      <c r="AZ17" s="95">
        <f t="shared" si="3"/>
        <v>16.994157207968332</v>
      </c>
      <c r="BA17" s="95">
        <f t="shared" si="4"/>
        <v>59.278019245676319</v>
      </c>
    </row>
    <row r="18" spans="3:53" ht="16.5" thickTop="1" thickBot="1" x14ac:dyDescent="0.3">
      <c r="C18" s="61">
        <v>16</v>
      </c>
      <c r="D18" s="62">
        <v>200</v>
      </c>
      <c r="E18" s="62">
        <v>200</v>
      </c>
      <c r="F18" s="21">
        <f>IF(ROUND(F15/D18,0)*D18&lt;F15-C18-C21,ROUND(F15/D18,0)+1,ROUND(F15/D18,0))</f>
        <v>6</v>
      </c>
      <c r="G18" s="21">
        <f>IF(ROUND(G15/E18,0)*E18&lt;G15-C18-C21,ROUND(G15/E18,0)+1,ROUND(G15/E18,0))</f>
        <v>2</v>
      </c>
      <c r="H18" s="22">
        <f>(F15-C21-C18)/F18</f>
        <v>186.33333333333334</v>
      </c>
      <c r="I18" s="22">
        <f>(G15-C21-C18)/G18</f>
        <v>149</v>
      </c>
      <c r="J18" s="67" t="s">
        <v>98</v>
      </c>
      <c r="K18" s="22">
        <f>IF(J18="Min",IF(D18=200,H18,IF(2*H18&lt;=200,2*H18,H18)),IF(J18="Max",H18))</f>
        <v>186.33333333333334</v>
      </c>
      <c r="L18" s="22">
        <f>IF(J18="Min",IF(E18=200,I18,IF(2*I18&lt;=200,2*I18,I18)),IF(J18="Max",I18))</f>
        <v>149</v>
      </c>
      <c r="M18" s="21">
        <f>IF(K18=H18,F18,F18/2)</f>
        <v>6</v>
      </c>
      <c r="N18" s="83">
        <f>IF(L18=I18,G18,G18/2)</f>
        <v>2</v>
      </c>
      <c r="O18" s="27"/>
      <c r="P18" s="27"/>
      <c r="Q18" s="27"/>
      <c r="R18" s="27"/>
      <c r="S18" s="27"/>
      <c r="T18" s="27"/>
      <c r="U18" s="27"/>
      <c r="V18" s="27"/>
      <c r="AB18" s="91">
        <f t="shared" si="12"/>
        <v>0.26636793319959218</v>
      </c>
      <c r="AC18" s="91">
        <f t="shared" si="5"/>
        <v>9.9999999999999992E-2</v>
      </c>
      <c r="AD18" s="91">
        <f t="shared" si="6"/>
        <v>10.96350901200505</v>
      </c>
      <c r="AE18" s="91">
        <f t="shared" si="13"/>
        <v>6.2126551068028606</v>
      </c>
      <c r="AF18" s="92"/>
      <c r="AG18" s="91">
        <f t="shared" si="14"/>
        <v>0.38556038491352634</v>
      </c>
      <c r="AH18" s="91">
        <f t="shared" si="7"/>
        <v>0.1</v>
      </c>
      <c r="AI18" s="91">
        <f t="shared" si="8"/>
        <v>13.239034111325751</v>
      </c>
      <c r="AJ18" s="91">
        <f t="shared" si="15"/>
        <v>7.5021193297512587</v>
      </c>
      <c r="AK18" s="92"/>
      <c r="AL18" s="91">
        <f t="shared" si="16"/>
        <v>0.2</v>
      </c>
      <c r="AM18" s="91">
        <f t="shared" si="9"/>
        <v>9.4999999999999964</v>
      </c>
      <c r="AN18" s="91">
        <f t="shared" si="10"/>
        <v>5.383333333333332</v>
      </c>
      <c r="AO18" s="92"/>
      <c r="AP18" s="91">
        <f>-1*AP16</f>
        <v>2.5</v>
      </c>
      <c r="AQ18" s="91">
        <f>-1*AQ16</f>
        <v>500</v>
      </c>
      <c r="AR18" s="92"/>
      <c r="AS18" s="91">
        <f>H10</f>
        <v>2.5</v>
      </c>
      <c r="AT18" s="91">
        <f>D10</f>
        <v>500</v>
      </c>
      <c r="AV18" s="95">
        <f t="shared" si="11"/>
        <v>2</v>
      </c>
      <c r="AW18" s="95">
        <f t="shared" si="0"/>
        <v>2.6636793319959211</v>
      </c>
      <c r="AX18" s="95">
        <f t="shared" si="1"/>
        <v>3.5</v>
      </c>
      <c r="AY18" s="95">
        <f t="shared" si="2"/>
        <v>9.6621432084423251</v>
      </c>
      <c r="AZ18" s="95">
        <f t="shared" si="3"/>
        <v>16.994157207968332</v>
      </c>
      <c r="BA18" s="95">
        <f t="shared" si="4"/>
        <v>59.278019245676319</v>
      </c>
    </row>
    <row r="19" spans="3:53" ht="18" x14ac:dyDescent="0.25">
      <c r="C19" s="64" t="s">
        <v>51</v>
      </c>
      <c r="D19" s="68" t="s">
        <v>82</v>
      </c>
      <c r="E19" s="65" t="s">
        <v>32</v>
      </c>
      <c r="F19" s="65" t="s">
        <v>56</v>
      </c>
      <c r="G19" s="65" t="s">
        <v>102</v>
      </c>
      <c r="H19" s="65" t="s">
        <v>103</v>
      </c>
      <c r="I19" s="68" t="s">
        <v>58</v>
      </c>
      <c r="J19" s="68" t="s">
        <v>59</v>
      </c>
      <c r="K19" s="68" t="s">
        <v>33</v>
      </c>
      <c r="L19" s="65" t="s">
        <v>126</v>
      </c>
      <c r="M19" s="45" t="s">
        <v>127</v>
      </c>
      <c r="N19" s="69" t="s">
        <v>64</v>
      </c>
      <c r="O19" s="27"/>
      <c r="P19" s="27"/>
      <c r="Q19" s="27"/>
      <c r="R19" s="27"/>
      <c r="S19" s="27"/>
      <c r="T19" s="27"/>
      <c r="U19" s="27"/>
      <c r="V19" s="27"/>
      <c r="AB19" s="91">
        <f t="shared" si="12"/>
        <v>0.39955189979938827</v>
      </c>
      <c r="AC19" s="91">
        <f t="shared" si="5"/>
        <v>0.15</v>
      </c>
      <c r="AD19" s="91">
        <f t="shared" si="6"/>
        <v>16.012493425428435</v>
      </c>
      <c r="AE19" s="91">
        <f t="shared" si="13"/>
        <v>9.0737462744094461</v>
      </c>
      <c r="AF19" s="92"/>
      <c r="AG19" s="91">
        <f t="shared" si="14"/>
        <v>0.57834057737028954</v>
      </c>
      <c r="AH19" s="91">
        <f t="shared" si="7"/>
        <v>0.15000000000000002</v>
      </c>
      <c r="AI19" s="91">
        <f t="shared" si="8"/>
        <v>19.040431032249401</v>
      </c>
      <c r="AJ19" s="91">
        <f t="shared" si="15"/>
        <v>10.789577584941327</v>
      </c>
      <c r="AK19" s="92"/>
      <c r="AL19" s="91">
        <f>AL18+$K$5/20</f>
        <v>0.30000000000000004</v>
      </c>
      <c r="AM19" s="91">
        <f t="shared" si="9"/>
        <v>13.875000000000004</v>
      </c>
      <c r="AN19" s="91">
        <f t="shared" si="10"/>
        <v>7.8625000000000016</v>
      </c>
      <c r="AO19" s="92"/>
      <c r="AP19" s="91">
        <f>-1*AP15</f>
        <v>45</v>
      </c>
      <c r="AQ19" s="91">
        <f>AQ18</f>
        <v>500</v>
      </c>
      <c r="AR19" s="92"/>
      <c r="AS19" s="91">
        <f>J10</f>
        <v>45</v>
      </c>
      <c r="AT19" s="91">
        <f>E10</f>
        <v>540</v>
      </c>
      <c r="AV19" s="95">
        <f t="shared" si="11"/>
        <v>2</v>
      </c>
      <c r="AW19" s="95">
        <f t="shared" si="0"/>
        <v>2.6636793319959211</v>
      </c>
      <c r="AX19" s="95">
        <f t="shared" si="1"/>
        <v>3.5</v>
      </c>
      <c r="AY19" s="95">
        <f t="shared" si="2"/>
        <v>9.6621432084423251</v>
      </c>
      <c r="AZ19" s="95">
        <f t="shared" si="3"/>
        <v>16.994157207968332</v>
      </c>
      <c r="BA19" s="95">
        <f t="shared" si="4"/>
        <v>59.278019245676319</v>
      </c>
    </row>
    <row r="20" spans="3:53" ht="18" thickBot="1" x14ac:dyDescent="0.3">
      <c r="C20" s="58" t="s">
        <v>31</v>
      </c>
      <c r="D20" s="59" t="s">
        <v>31</v>
      </c>
      <c r="E20" s="59" t="s">
        <v>36</v>
      </c>
      <c r="F20" s="59" t="s">
        <v>36</v>
      </c>
      <c r="G20" s="59" t="s">
        <v>57</v>
      </c>
      <c r="H20" s="59" t="s">
        <v>57</v>
      </c>
      <c r="I20" s="59" t="s">
        <v>14</v>
      </c>
      <c r="J20" s="59" t="s">
        <v>14</v>
      </c>
      <c r="K20" s="59" t="s">
        <v>14</v>
      </c>
      <c r="L20" s="59" t="s">
        <v>57</v>
      </c>
      <c r="M20" s="59" t="s">
        <v>14</v>
      </c>
      <c r="N20" s="70" t="s">
        <v>15</v>
      </c>
      <c r="O20" s="27"/>
      <c r="P20" s="27"/>
      <c r="Q20" s="27"/>
      <c r="R20" s="27"/>
      <c r="S20" s="27"/>
      <c r="T20" s="27"/>
      <c r="U20" s="27"/>
      <c r="V20" s="27"/>
      <c r="AB20" s="91">
        <f t="shared" si="12"/>
        <v>0.53273586639918435</v>
      </c>
      <c r="AC20" s="91">
        <f t="shared" si="5"/>
        <v>0.19999999999999998</v>
      </c>
      <c r="AD20" s="91">
        <f t="shared" si="6"/>
        <v>20.772964443799051</v>
      </c>
      <c r="AE20" s="91">
        <f t="shared" si="13"/>
        <v>11.771346518152795</v>
      </c>
      <c r="AF20" s="92"/>
      <c r="AG20" s="91">
        <f t="shared" si="14"/>
        <v>0.77112076982705269</v>
      </c>
      <c r="AH20" s="91">
        <f t="shared" si="7"/>
        <v>0.2</v>
      </c>
      <c r="AI20" s="91">
        <f t="shared" si="8"/>
        <v>24.339536010054008</v>
      </c>
      <c r="AJ20" s="91">
        <f t="shared" si="15"/>
        <v>13.792403739030604</v>
      </c>
      <c r="AK20" s="92"/>
      <c r="AL20" s="91">
        <f t="shared" si="16"/>
        <v>0.4</v>
      </c>
      <c r="AM20" s="91">
        <f t="shared" si="9"/>
        <v>17.999999999999993</v>
      </c>
      <c r="AN20" s="91">
        <f t="shared" si="10"/>
        <v>10.199999999999996</v>
      </c>
      <c r="AO20" s="92"/>
      <c r="AV20" s="95">
        <f t="shared" si="11"/>
        <v>2</v>
      </c>
      <c r="AW20" s="95">
        <f t="shared" si="0"/>
        <v>2.6636793319959211</v>
      </c>
      <c r="AX20" s="95">
        <f t="shared" si="1"/>
        <v>3.5</v>
      </c>
      <c r="AY20" s="95">
        <f t="shared" si="2"/>
        <v>9.6621432084423251</v>
      </c>
      <c r="AZ20" s="95">
        <f t="shared" si="3"/>
        <v>16.994157207968332</v>
      </c>
      <c r="BA20" s="95">
        <f t="shared" si="4"/>
        <v>59.278019245676319</v>
      </c>
    </row>
    <row r="21" spans="3:53" ht="16.5" thickTop="1" thickBot="1" x14ac:dyDescent="0.3">
      <c r="C21" s="61">
        <v>8</v>
      </c>
      <c r="D21" s="62">
        <v>100</v>
      </c>
      <c r="E21" s="22">
        <f>(N18+1)*C21^2*PI()/4</f>
        <v>150.79644737231007</v>
      </c>
      <c r="F21" s="22">
        <f>(M18+1)*C21^2*PI()/4</f>
        <v>351.85837720205683</v>
      </c>
      <c r="G21" s="22">
        <f>E21/(D21*G15)*100</f>
        <v>0.46831194836121143</v>
      </c>
      <c r="H21" s="22">
        <f>F21/(D21*F15)*100</f>
        <v>0.30810716042211628</v>
      </c>
      <c r="I21" s="22">
        <f>1-(M18*2*(K18^2)+N18*2*(L18^2))/(6*F15*G15)</f>
        <v>0.77091272560700719</v>
      </c>
      <c r="J21" s="22">
        <f>(1-D21/(2*F15))*(1-D21/(2*G15))</f>
        <v>0.80773623696032892</v>
      </c>
      <c r="K21" s="22">
        <f>I21*J21</f>
        <v>0.62269414400663459</v>
      </c>
      <c r="L21" s="22">
        <f>2*MIN(G21,H21)</f>
        <v>0.61621432084423255</v>
      </c>
      <c r="M21" s="22">
        <f>L21/100*D10/E5</f>
        <v>6.162143208442325E-2</v>
      </c>
      <c r="N21" s="23">
        <f>0.5*M21*E5</f>
        <v>1.5405358021105813</v>
      </c>
      <c r="O21" s="27"/>
      <c r="P21" s="27"/>
      <c r="Q21" s="27"/>
      <c r="R21" s="27"/>
      <c r="S21" s="27"/>
      <c r="T21" s="27"/>
      <c r="U21" s="27"/>
      <c r="V21" s="27"/>
      <c r="AB21" s="91">
        <f t="shared" si="12"/>
        <v>0.66591983299898039</v>
      </c>
      <c r="AC21" s="91">
        <f t="shared" si="5"/>
        <v>0.24999999999999994</v>
      </c>
      <c r="AD21" s="91">
        <f t="shared" si="6"/>
        <v>25.244922067116896</v>
      </c>
      <c r="AE21" s="91">
        <f t="shared" si="13"/>
        <v>14.305455838032907</v>
      </c>
      <c r="AF21" s="92"/>
      <c r="AG21" s="91">
        <f t="shared" si="14"/>
        <v>0.96390096228381583</v>
      </c>
      <c r="AH21" s="91">
        <f t="shared" si="7"/>
        <v>0.25</v>
      </c>
      <c r="AI21" s="91">
        <f t="shared" si="8"/>
        <v>29.165555913279423</v>
      </c>
      <c r="AJ21" s="91">
        <f t="shared" si="15"/>
        <v>16.52714835085834</v>
      </c>
      <c r="AK21" s="92"/>
      <c r="AL21" s="91">
        <f t="shared" si="16"/>
        <v>0.5</v>
      </c>
      <c r="AM21" s="91">
        <f t="shared" si="9"/>
        <v>21.875</v>
      </c>
      <c r="AN21" s="91">
        <f t="shared" si="10"/>
        <v>12.395833333333334</v>
      </c>
      <c r="AO21" s="92"/>
      <c r="AP21" s="133" t="s">
        <v>70</v>
      </c>
      <c r="AQ21" s="133"/>
      <c r="AR21" s="53"/>
      <c r="AS21" s="133" t="s">
        <v>70</v>
      </c>
      <c r="AT21" s="133"/>
      <c r="AV21" s="95">
        <f t="shared" si="11"/>
        <v>2</v>
      </c>
      <c r="AW21" s="95">
        <f t="shared" si="0"/>
        <v>2.6636793319959211</v>
      </c>
      <c r="AX21" s="95">
        <f t="shared" si="1"/>
        <v>3.5</v>
      </c>
      <c r="AY21" s="95">
        <f t="shared" si="2"/>
        <v>9.6621432084423251</v>
      </c>
      <c r="AZ21" s="95">
        <f t="shared" si="3"/>
        <v>16.994157207968332</v>
      </c>
      <c r="BA21" s="95">
        <f t="shared" si="4"/>
        <v>59.278019245676319</v>
      </c>
    </row>
    <row r="22" spans="3:53" ht="18.75" thickBot="1" x14ac:dyDescent="0.3">
      <c r="AB22" s="91">
        <f t="shared" si="12"/>
        <v>0.79910379959877642</v>
      </c>
      <c r="AC22" s="91">
        <f t="shared" si="5"/>
        <v>0.29999999999999993</v>
      </c>
      <c r="AD22" s="91">
        <f t="shared" si="6"/>
        <v>29.428366295381984</v>
      </c>
      <c r="AE22" s="91">
        <f t="shared" si="13"/>
        <v>16.676074234049789</v>
      </c>
      <c r="AF22" s="92"/>
      <c r="AG22" s="91">
        <f t="shared" si="14"/>
        <v>1.1566811547405791</v>
      </c>
      <c r="AH22" s="91">
        <f t="shared" si="7"/>
        <v>0.30000000000000004</v>
      </c>
      <c r="AI22" s="91">
        <f t="shared" si="8"/>
        <v>33.545476268682016</v>
      </c>
      <c r="AJ22" s="91">
        <f t="shared" si="15"/>
        <v>19.009103218919808</v>
      </c>
      <c r="AK22" s="92"/>
      <c r="AL22" s="91">
        <f t="shared" si="16"/>
        <v>0.6</v>
      </c>
      <c r="AM22" s="91">
        <f t="shared" si="9"/>
        <v>25.5</v>
      </c>
      <c r="AN22" s="91">
        <f t="shared" si="10"/>
        <v>14.450000000000001</v>
      </c>
      <c r="AO22" s="92"/>
      <c r="AP22" s="45" t="s">
        <v>34</v>
      </c>
      <c r="AQ22" s="45" t="s">
        <v>72</v>
      </c>
      <c r="AR22" s="57"/>
      <c r="AS22" s="45" t="s">
        <v>34</v>
      </c>
      <c r="AT22" s="45" t="s">
        <v>72</v>
      </c>
      <c r="AV22" s="95">
        <f t="shared" si="11"/>
        <v>2</v>
      </c>
      <c r="AW22" s="95">
        <f t="shared" si="0"/>
        <v>2.6636793319959211</v>
      </c>
      <c r="AX22" s="95">
        <f t="shared" si="1"/>
        <v>3.5</v>
      </c>
      <c r="AY22" s="95">
        <f t="shared" si="2"/>
        <v>9.6621432084423251</v>
      </c>
      <c r="AZ22" s="95">
        <f t="shared" si="3"/>
        <v>16.994157207968332</v>
      </c>
      <c r="BA22" s="95">
        <f t="shared" si="4"/>
        <v>59.278019245676319</v>
      </c>
    </row>
    <row r="23" spans="3:53" ht="15.75" thickBot="1" x14ac:dyDescent="0.3">
      <c r="C23" s="146" t="s">
        <v>110</v>
      </c>
      <c r="D23" s="140"/>
      <c r="E23" s="141"/>
      <c r="F23" s="139" t="s">
        <v>111</v>
      </c>
      <c r="G23" s="140"/>
      <c r="H23" s="141"/>
      <c r="I23" s="139" t="s">
        <v>112</v>
      </c>
      <c r="J23" s="140"/>
      <c r="K23" s="141"/>
      <c r="AB23" s="91">
        <f t="shared" si="12"/>
        <v>0.93228776619857245</v>
      </c>
      <c r="AC23" s="91">
        <f t="shared" si="5"/>
        <v>0.34999999999999992</v>
      </c>
      <c r="AD23" s="91">
        <f t="shared" si="6"/>
        <v>33.323297128594312</v>
      </c>
      <c r="AE23" s="91">
        <f t="shared" si="13"/>
        <v>18.883201706203444</v>
      </c>
      <c r="AF23" s="92"/>
      <c r="AG23" s="91">
        <f t="shared" si="14"/>
        <v>1.3494613471973422</v>
      </c>
      <c r="AH23" s="91">
        <f t="shared" si="7"/>
        <v>0.35000000000000003</v>
      </c>
      <c r="AI23" s="91">
        <f t="shared" si="8"/>
        <v>37.504268502242638</v>
      </c>
      <c r="AJ23" s="91">
        <f t="shared" si="15"/>
        <v>21.252418817937492</v>
      </c>
      <c r="AK23" s="92"/>
      <c r="AL23" s="91">
        <f t="shared" si="16"/>
        <v>0.7</v>
      </c>
      <c r="AM23" s="91">
        <f t="shared" si="9"/>
        <v>28.874999999999996</v>
      </c>
      <c r="AN23" s="91">
        <f t="shared" si="10"/>
        <v>16.362499999999997</v>
      </c>
      <c r="AO23" s="92"/>
      <c r="AP23" s="38" t="s">
        <v>17</v>
      </c>
      <c r="AQ23" s="48" t="s">
        <v>15</v>
      </c>
      <c r="AR23" s="92"/>
      <c r="AS23" s="38" t="s">
        <v>17</v>
      </c>
      <c r="AT23" s="48" t="s">
        <v>15</v>
      </c>
      <c r="AV23" s="95">
        <f t="shared" si="11"/>
        <v>2</v>
      </c>
      <c r="AW23" s="95">
        <f t="shared" si="0"/>
        <v>2.6636793319959211</v>
      </c>
      <c r="AX23" s="95">
        <f t="shared" si="1"/>
        <v>3.5</v>
      </c>
      <c r="AY23" s="95">
        <f t="shared" si="2"/>
        <v>9.6621432084423251</v>
      </c>
      <c r="AZ23" s="95">
        <f t="shared" si="3"/>
        <v>16.994157207968332</v>
      </c>
      <c r="BA23" s="95">
        <f t="shared" si="4"/>
        <v>59.278019245676319</v>
      </c>
    </row>
    <row r="24" spans="3:53" ht="18.75" thickTop="1" x14ac:dyDescent="0.25">
      <c r="C24" s="44" t="s">
        <v>109</v>
      </c>
      <c r="D24" s="142" t="str">
        <f>IF(H15="Column",IF(C26&lt;0.01,"Increase RFT",IF(C26&gt;0.04,"Decrease RFT","Pass")),IF(H15="Wall",IF(C26&lt;0.005,"Increase RFT",IF(C26&gt;0.04,"Decrease RFT","Pass"))))</f>
        <v>Pass</v>
      </c>
      <c r="E24" s="143"/>
      <c r="F24" s="45" t="s">
        <v>82</v>
      </c>
      <c r="G24" s="142" t="str">
        <f>IF(D21&lt;MIN(F15/2,G15/2,175,8*C18),"Pass","Decrease Spacing")</f>
        <v>Pass</v>
      </c>
      <c r="H24" s="143"/>
      <c r="I24" s="45" t="s">
        <v>113</v>
      </c>
      <c r="J24" s="142" t="str">
        <f>IF(I26&gt;0.08,"Pass","Adjust Detail")</f>
        <v>Pass</v>
      </c>
      <c r="K24" s="143"/>
      <c r="AB24" s="91">
        <f t="shared" si="12"/>
        <v>1.0654717327983685</v>
      </c>
      <c r="AC24" s="91">
        <f t="shared" si="5"/>
        <v>0.39999999999999986</v>
      </c>
      <c r="AD24" s="91">
        <f t="shared" si="6"/>
        <v>36.929714566753859</v>
      </c>
      <c r="AE24" s="91">
        <f t="shared" si="13"/>
        <v>20.926838254493852</v>
      </c>
      <c r="AF24" s="92"/>
      <c r="AG24" s="91">
        <f t="shared" si="14"/>
        <v>1.5422415396541054</v>
      </c>
      <c r="AH24" s="91">
        <f t="shared" si="7"/>
        <v>0.4</v>
      </c>
      <c r="AI24" s="91">
        <f t="shared" si="8"/>
        <v>41.065074403600754</v>
      </c>
      <c r="AJ24" s="91">
        <f t="shared" si="15"/>
        <v>23.270208828707094</v>
      </c>
      <c r="AK24" s="92"/>
      <c r="AL24" s="91">
        <f t="shared" si="16"/>
        <v>0.79999999999999993</v>
      </c>
      <c r="AM24" s="91">
        <f t="shared" si="9"/>
        <v>31.999999999999996</v>
      </c>
      <c r="AN24" s="91">
        <f t="shared" si="10"/>
        <v>18.133333333333329</v>
      </c>
      <c r="AO24" s="92"/>
      <c r="AP24" s="7">
        <f>AP15</f>
        <v>-45</v>
      </c>
      <c r="AQ24" s="7">
        <f>-D10/M10</f>
        <v>-434.78260869565219</v>
      </c>
      <c r="AR24" s="92"/>
      <c r="AS24" s="7">
        <f>-1*J10</f>
        <v>-45</v>
      </c>
      <c r="AT24" s="7">
        <f>-1*E10/M10</f>
        <v>-469.56521739130437</v>
      </c>
      <c r="AV24" s="95">
        <f t="shared" si="11"/>
        <v>2</v>
      </c>
      <c r="AW24" s="95">
        <f t="shared" si="0"/>
        <v>2.6636793319959211</v>
      </c>
      <c r="AX24" s="95">
        <f t="shared" si="1"/>
        <v>3.5</v>
      </c>
      <c r="AY24" s="95">
        <f t="shared" si="2"/>
        <v>9.6621432084423251</v>
      </c>
      <c r="AZ24" s="95">
        <f t="shared" si="3"/>
        <v>16.994157207968332</v>
      </c>
      <c r="BA24" s="95">
        <f t="shared" si="4"/>
        <v>59.278019245676319</v>
      </c>
    </row>
    <row r="25" spans="3:53" x14ac:dyDescent="0.25">
      <c r="C25" s="71" t="s">
        <v>57</v>
      </c>
      <c r="D25" s="142"/>
      <c r="E25" s="143"/>
      <c r="F25" s="91" t="s">
        <v>31</v>
      </c>
      <c r="G25" s="142"/>
      <c r="H25" s="143"/>
      <c r="I25" s="91" t="s">
        <v>14</v>
      </c>
      <c r="J25" s="142"/>
      <c r="K25" s="143"/>
      <c r="AB25" s="91">
        <f t="shared" si="12"/>
        <v>1.1986556993981645</v>
      </c>
      <c r="AC25" s="91">
        <f t="shared" si="5"/>
        <v>0.44999999999999984</v>
      </c>
      <c r="AD25" s="91">
        <f t="shared" si="6"/>
        <v>40.247618609860652</v>
      </c>
      <c r="AE25" s="91">
        <f t="shared" si="13"/>
        <v>22.806983878921034</v>
      </c>
      <c r="AF25" s="92"/>
      <c r="AG25" s="91">
        <f t="shared" si="14"/>
        <v>1.7350217321108685</v>
      </c>
      <c r="AH25" s="91">
        <f t="shared" si="7"/>
        <v>0.45</v>
      </c>
      <c r="AI25" s="91">
        <f t="shared" si="8"/>
        <v>44.249370681820366</v>
      </c>
      <c r="AJ25" s="91">
        <f t="shared" si="15"/>
        <v>25.074643386364873</v>
      </c>
      <c r="AK25" s="92"/>
      <c r="AL25" s="91">
        <f t="shared" si="16"/>
        <v>0.89999999999999991</v>
      </c>
      <c r="AM25" s="91">
        <f t="shared" si="9"/>
        <v>34.875</v>
      </c>
      <c r="AN25" s="91">
        <f t="shared" si="10"/>
        <v>19.762499999999999</v>
      </c>
      <c r="AO25" s="92"/>
      <c r="AP25" s="91">
        <f>-D10/M10/G10</f>
        <v>-2.1739130434782608</v>
      </c>
      <c r="AQ25" s="91">
        <f>AQ24</f>
        <v>-434.78260869565219</v>
      </c>
      <c r="AR25" s="92"/>
      <c r="AS25" s="91">
        <f>-1*D10/G10/M10</f>
        <v>-2.1739130434782612</v>
      </c>
      <c r="AT25" s="91">
        <f>-1*D10/M10</f>
        <v>-434.78260869565219</v>
      </c>
      <c r="AV25" s="95">
        <f t="shared" si="11"/>
        <v>2</v>
      </c>
      <c r="AW25" s="95">
        <f t="shared" si="0"/>
        <v>2.6636793319959211</v>
      </c>
      <c r="AX25" s="95">
        <f t="shared" si="1"/>
        <v>3.5</v>
      </c>
      <c r="AY25" s="95">
        <f t="shared" si="2"/>
        <v>9.6621432084423251</v>
      </c>
      <c r="AZ25" s="95">
        <f t="shared" si="3"/>
        <v>16.994157207968332</v>
      </c>
      <c r="BA25" s="95">
        <f t="shared" si="4"/>
        <v>59.278019245676319</v>
      </c>
    </row>
    <row r="26" spans="3:53" ht="15.75" thickBot="1" x14ac:dyDescent="0.3">
      <c r="C26" s="72">
        <f>IF(G18=1,C18^2*PI()/4*2*(F18+1)/(C15*D15),C18^2*PI()/4*(2*(F18+1)+2*G18)/(C15*D15))</f>
        <v>7.4162187232283639E-3</v>
      </c>
      <c r="D26" s="144"/>
      <c r="E26" s="145"/>
      <c r="F26" s="34">
        <f>D21</f>
        <v>100</v>
      </c>
      <c r="G26" s="144"/>
      <c r="H26" s="145"/>
      <c r="I26" s="34">
        <f>L21/100*AQ28/AN37</f>
        <v>9.4559742329038243E-2</v>
      </c>
      <c r="J26" s="144"/>
      <c r="K26" s="145"/>
      <c r="AB26" s="91">
        <f t="shared" si="12"/>
        <v>1.3318396659979606</v>
      </c>
      <c r="AC26" s="91">
        <f t="shared" si="5"/>
        <v>0.49999999999999983</v>
      </c>
      <c r="AD26" s="91">
        <f t="shared" si="6"/>
        <v>43.277009257914678</v>
      </c>
      <c r="AE26" s="91">
        <f t="shared" si="13"/>
        <v>24.523638579484984</v>
      </c>
      <c r="AF26" s="92"/>
      <c r="AG26" s="91">
        <f t="shared" si="14"/>
        <v>1.9278019245676317</v>
      </c>
      <c r="AH26" s="91">
        <f t="shared" si="7"/>
        <v>0.5</v>
      </c>
      <c r="AI26" s="91">
        <f t="shared" si="8"/>
        <v>47.077116074985774</v>
      </c>
      <c r="AJ26" s="91">
        <f t="shared" si="15"/>
        <v>26.677032442491939</v>
      </c>
      <c r="AK26" s="92"/>
      <c r="AL26" s="91">
        <f t="shared" si="16"/>
        <v>0.99999999999999989</v>
      </c>
      <c r="AM26" s="91">
        <f t="shared" si="9"/>
        <v>37.5</v>
      </c>
      <c r="AN26" s="91">
        <f t="shared" si="10"/>
        <v>21.25</v>
      </c>
      <c r="AO26" s="92"/>
      <c r="AP26" s="91">
        <v>0</v>
      </c>
      <c r="AQ26" s="91">
        <f>0</f>
        <v>0</v>
      </c>
      <c r="AR26" s="92"/>
      <c r="AS26" s="91">
        <f>0</f>
        <v>0</v>
      </c>
      <c r="AT26" s="91">
        <f>0</f>
        <v>0</v>
      </c>
      <c r="AV26" s="95">
        <f t="shared" si="11"/>
        <v>2</v>
      </c>
      <c r="AW26" s="95">
        <f t="shared" si="0"/>
        <v>2.6636793319959211</v>
      </c>
      <c r="AX26" s="95">
        <f t="shared" si="1"/>
        <v>3.5</v>
      </c>
      <c r="AY26" s="95">
        <f t="shared" si="2"/>
        <v>9.6621432084423251</v>
      </c>
      <c r="AZ26" s="95">
        <f t="shared" si="3"/>
        <v>16.994157207968332</v>
      </c>
      <c r="BA26" s="95">
        <f t="shared" si="4"/>
        <v>59.278019245676319</v>
      </c>
    </row>
    <row r="27" spans="3:53" ht="15.75" thickBot="1" x14ac:dyDescent="0.3">
      <c r="AB27" s="91">
        <f t="shared" si="12"/>
        <v>1.4650236325977566</v>
      </c>
      <c r="AC27" s="91">
        <f t="shared" si="5"/>
        <v>0.54999999999999982</v>
      </c>
      <c r="AD27" s="91">
        <f t="shared" si="6"/>
        <v>46.01788651091595</v>
      </c>
      <c r="AE27" s="91">
        <f t="shared" si="13"/>
        <v>26.076802356185706</v>
      </c>
      <c r="AF27" s="92"/>
      <c r="AG27" s="91">
        <f t="shared" si="14"/>
        <v>2.1205821170243948</v>
      </c>
      <c r="AH27" s="91">
        <f t="shared" si="7"/>
        <v>0.55000000000000004</v>
      </c>
      <c r="AI27" s="91">
        <f t="shared" si="8"/>
        <v>49.566883134072114</v>
      </c>
      <c r="AJ27" s="91">
        <f t="shared" si="15"/>
        <v>28.087900442640862</v>
      </c>
      <c r="AK27" s="92"/>
      <c r="AL27" s="91">
        <f t="shared" si="16"/>
        <v>1.0999999999999999</v>
      </c>
      <c r="AM27" s="91">
        <f t="shared" si="9"/>
        <v>39.874999999999993</v>
      </c>
      <c r="AN27" s="91">
        <f t="shared" si="10"/>
        <v>22.595833333333328</v>
      </c>
      <c r="AO27" s="92"/>
      <c r="AP27" s="91">
        <f>-AP25</f>
        <v>2.1739130434782608</v>
      </c>
      <c r="AQ27" s="91">
        <f>-AQ25</f>
        <v>434.78260869565219</v>
      </c>
      <c r="AR27" s="92"/>
      <c r="AS27" s="91">
        <f>D10/G10/M10</f>
        <v>2.1739130434782612</v>
      </c>
      <c r="AT27" s="91">
        <f>D10/M10</f>
        <v>434.78260869565219</v>
      </c>
      <c r="AV27" s="95">
        <f t="shared" si="11"/>
        <v>2</v>
      </c>
      <c r="AW27" s="95">
        <f t="shared" si="0"/>
        <v>2.6636793319959211</v>
      </c>
      <c r="AX27" s="95">
        <f t="shared" si="1"/>
        <v>3.5</v>
      </c>
      <c r="AY27" s="95">
        <f t="shared" si="2"/>
        <v>9.6621432084423251</v>
      </c>
      <c r="AZ27" s="95">
        <f t="shared" si="3"/>
        <v>16.994157207968332</v>
      </c>
      <c r="BA27" s="95">
        <f t="shared" si="4"/>
        <v>59.278019245676319</v>
      </c>
    </row>
    <row r="28" spans="3:53" x14ac:dyDescent="0.25">
      <c r="C28" s="129" t="s">
        <v>91</v>
      </c>
      <c r="D28" s="130"/>
      <c r="E28" s="130"/>
      <c r="F28" s="131"/>
      <c r="H28" s="129" t="s">
        <v>92</v>
      </c>
      <c r="I28" s="130"/>
      <c r="J28" s="130"/>
      <c r="K28" s="131"/>
      <c r="AB28" s="91">
        <f t="shared" si="12"/>
        <v>1.5982075991975526</v>
      </c>
      <c r="AC28" s="91">
        <f t="shared" si="5"/>
        <v>0.59999999999999976</v>
      </c>
      <c r="AD28" s="91">
        <f t="shared" si="6"/>
        <v>48.470250368864441</v>
      </c>
      <c r="AE28" s="91">
        <f t="shared" si="13"/>
        <v>27.466475209023184</v>
      </c>
      <c r="AF28" s="92"/>
      <c r="AG28" s="91">
        <f t="shared" si="14"/>
        <v>2.3133623094811582</v>
      </c>
      <c r="AH28" s="91">
        <f t="shared" si="7"/>
        <v>0.60000000000000009</v>
      </c>
      <c r="AI28" s="91">
        <f t="shared" si="8"/>
        <v>51.73597651202099</v>
      </c>
      <c r="AJ28" s="91">
        <f t="shared" si="15"/>
        <v>29.317053356811893</v>
      </c>
      <c r="AK28" s="92"/>
      <c r="AL28" s="91">
        <f t="shared" si="16"/>
        <v>1.2</v>
      </c>
      <c r="AM28" s="91">
        <f t="shared" si="9"/>
        <v>42</v>
      </c>
      <c r="AN28" s="91">
        <f t="shared" si="10"/>
        <v>23.799999999999997</v>
      </c>
      <c r="AO28" s="92"/>
      <c r="AP28" s="91">
        <f>-AP24</f>
        <v>45</v>
      </c>
      <c r="AQ28" s="91">
        <f>-AQ25</f>
        <v>434.78260869565219</v>
      </c>
      <c r="AR28" s="92"/>
      <c r="AS28" s="91">
        <f>J10</f>
        <v>45</v>
      </c>
      <c r="AT28" s="91">
        <f>E10/M10</f>
        <v>469.56521739130437</v>
      </c>
      <c r="AV28" s="95">
        <f t="shared" si="11"/>
        <v>2</v>
      </c>
      <c r="AW28" s="95">
        <f t="shared" si="0"/>
        <v>2.6636793319959211</v>
      </c>
      <c r="AX28" s="95">
        <f t="shared" si="1"/>
        <v>3.5</v>
      </c>
      <c r="AY28" s="95">
        <f t="shared" si="2"/>
        <v>9.6621432084423251</v>
      </c>
      <c r="AZ28" s="95">
        <f t="shared" si="3"/>
        <v>16.994157207968332</v>
      </c>
      <c r="BA28" s="95">
        <f t="shared" si="4"/>
        <v>59.278019245676319</v>
      </c>
    </row>
    <row r="29" spans="3:53" x14ac:dyDescent="0.25">
      <c r="C29" s="73" t="s">
        <v>61</v>
      </c>
      <c r="D29" s="3" t="s">
        <v>62</v>
      </c>
      <c r="E29" s="3" t="s">
        <v>63</v>
      </c>
      <c r="F29" s="74" t="s">
        <v>66</v>
      </c>
      <c r="H29" s="73" t="s">
        <v>61</v>
      </c>
      <c r="I29" s="3" t="s">
        <v>62</v>
      </c>
      <c r="J29" s="3" t="s">
        <v>63</v>
      </c>
      <c r="K29" s="74" t="s">
        <v>66</v>
      </c>
      <c r="AB29" s="91">
        <f t="shared" si="12"/>
        <v>1.7313915657973487</v>
      </c>
      <c r="AC29" s="91">
        <f t="shared" si="5"/>
        <v>0.6499999999999998</v>
      </c>
      <c r="AD29" s="91">
        <f t="shared" si="6"/>
        <v>50.634100831760179</v>
      </c>
      <c r="AE29" s="91">
        <f t="shared" si="13"/>
        <v>28.692657137997433</v>
      </c>
      <c r="AF29" s="92"/>
      <c r="AG29" s="91">
        <f t="shared" si="14"/>
        <v>2.5061425019379215</v>
      </c>
      <c r="AH29" s="91">
        <f t="shared" si="7"/>
        <v>0.65000000000000013</v>
      </c>
      <c r="AI29" s="91">
        <f t="shared" si="8"/>
        <v>53.60053934316123</v>
      </c>
      <c r="AJ29" s="91">
        <f t="shared" si="15"/>
        <v>30.373638961124698</v>
      </c>
      <c r="AK29" s="92"/>
      <c r="AL29" s="91">
        <f t="shared" si="16"/>
        <v>1.3</v>
      </c>
      <c r="AM29" s="91">
        <f t="shared" si="9"/>
        <v>43.875</v>
      </c>
      <c r="AN29" s="91">
        <f t="shared" si="10"/>
        <v>24.862499999999997</v>
      </c>
      <c r="AO29" s="92"/>
      <c r="AV29" s="95">
        <f t="shared" si="11"/>
        <v>2</v>
      </c>
      <c r="AW29" s="95">
        <f t="shared" si="0"/>
        <v>2.6636793319959211</v>
      </c>
      <c r="AX29" s="95">
        <f t="shared" si="1"/>
        <v>3.5</v>
      </c>
      <c r="AY29" s="95">
        <f t="shared" si="2"/>
        <v>9.6621432084423251</v>
      </c>
      <c r="AZ29" s="95">
        <f t="shared" si="3"/>
        <v>16.994157207968332</v>
      </c>
      <c r="BA29" s="95">
        <f t="shared" si="4"/>
        <v>59.278019245676319</v>
      </c>
    </row>
    <row r="30" spans="3:53" ht="15.75" thickBot="1" x14ac:dyDescent="0.3">
      <c r="C30" s="75" t="s">
        <v>15</v>
      </c>
      <c r="D30" s="38" t="s">
        <v>17</v>
      </c>
      <c r="E30" s="38" t="s">
        <v>17</v>
      </c>
      <c r="F30" s="76" t="s">
        <v>15</v>
      </c>
      <c r="H30" s="75" t="s">
        <v>15</v>
      </c>
      <c r="I30" s="38" t="s">
        <v>17</v>
      </c>
      <c r="J30" s="38" t="s">
        <v>17</v>
      </c>
      <c r="K30" s="76" t="s">
        <v>15</v>
      </c>
      <c r="AB30" s="91">
        <f t="shared" si="12"/>
        <v>1.8645755323971447</v>
      </c>
      <c r="AC30" s="91">
        <f t="shared" si="5"/>
        <v>0.69999999999999973</v>
      </c>
      <c r="AD30" s="91">
        <f t="shared" si="6"/>
        <v>52.509437899603142</v>
      </c>
      <c r="AE30" s="91">
        <f t="shared" si="13"/>
        <v>29.755348143108446</v>
      </c>
      <c r="AF30" s="92"/>
      <c r="AG30" s="91">
        <f t="shared" si="14"/>
        <v>2.6989226943946849</v>
      </c>
      <c r="AH30" s="91">
        <f t="shared" si="7"/>
        <v>0.70000000000000018</v>
      </c>
      <c r="AI30" s="91">
        <f t="shared" si="8"/>
        <v>55.175649088831825</v>
      </c>
      <c r="AJ30" s="91">
        <f t="shared" si="15"/>
        <v>31.266201150338034</v>
      </c>
      <c r="AK30" s="92"/>
      <c r="AL30" s="91">
        <f t="shared" si="16"/>
        <v>1.4000000000000001</v>
      </c>
      <c r="AM30" s="91">
        <f t="shared" si="9"/>
        <v>45.5</v>
      </c>
      <c r="AN30" s="91">
        <f t="shared" si="10"/>
        <v>25.783333333333331</v>
      </c>
      <c r="AO30" s="92"/>
      <c r="AV30" s="95">
        <f t="shared" si="11"/>
        <v>2</v>
      </c>
      <c r="AW30" s="95">
        <f t="shared" si="0"/>
        <v>2.6636793319959211</v>
      </c>
      <c r="AX30" s="95">
        <f t="shared" si="1"/>
        <v>3.5</v>
      </c>
      <c r="AY30" s="95">
        <f t="shared" si="2"/>
        <v>9.6621432084423251</v>
      </c>
      <c r="AZ30" s="95">
        <f t="shared" si="3"/>
        <v>16.994157207968332</v>
      </c>
      <c r="BA30" s="95">
        <f t="shared" si="4"/>
        <v>59.278019245676319</v>
      </c>
    </row>
    <row r="31" spans="3:53" ht="15.75" customHeight="1" thickTop="1" thickBot="1" x14ac:dyDescent="0.3">
      <c r="C31" s="9">
        <f>IF(N21&lt;=0.05*E5,E5*(1+5*N21/E5),E5*(1.125+2.5*N21/E5))</f>
        <v>57.702679010552906</v>
      </c>
      <c r="D31" s="10">
        <f>K5*(C31/E5)^2</f>
        <v>2.663679331995922</v>
      </c>
      <c r="E31" s="11">
        <f>L5+0.2*N21/E5*1000</f>
        <v>9.6621432084423251</v>
      </c>
      <c r="F31" s="94">
        <f>$N$10*C31/L10</f>
        <v>32.698184772646648</v>
      </c>
      <c r="H31" s="9">
        <f>$E$5*(1+3.7*(N21/E5)^0.86)</f>
        <v>59.278019245676319</v>
      </c>
      <c r="I31" s="10">
        <f>$K$5*(1+5*(H31/E5-1))</f>
        <v>3.8556038491352633</v>
      </c>
      <c r="J31" s="11">
        <f>(4/1000+0.5*N21/H31)*1000</f>
        <v>16.994157207968332</v>
      </c>
      <c r="K31" s="94">
        <f>H31*N10/L10</f>
        <v>33.590877572549914</v>
      </c>
      <c r="AB31" s="91">
        <f t="shared" si="12"/>
        <v>1.9977594989969407</v>
      </c>
      <c r="AC31" s="91">
        <f t="shared" si="5"/>
        <v>0.74999999999999967</v>
      </c>
      <c r="AD31" s="91">
        <f t="shared" si="6"/>
        <v>54.096261572393352</v>
      </c>
      <c r="AE31" s="91">
        <f t="shared" si="13"/>
        <v>30.654548224356233</v>
      </c>
      <c r="AF31" s="92"/>
      <c r="AG31" s="91">
        <f t="shared" si="14"/>
        <v>2.8917028868514483</v>
      </c>
      <c r="AH31" s="91">
        <f t="shared" si="7"/>
        <v>0.75000000000000022</v>
      </c>
      <c r="AI31" s="91">
        <f t="shared" si="8"/>
        <v>56.475404046361732</v>
      </c>
      <c r="AJ31" s="91">
        <f t="shared" si="15"/>
        <v>32.00272895960498</v>
      </c>
      <c r="AK31" s="92"/>
      <c r="AL31" s="91">
        <f t="shared" si="16"/>
        <v>1.5000000000000002</v>
      </c>
      <c r="AM31" s="91">
        <f t="shared" si="9"/>
        <v>46.875</v>
      </c>
      <c r="AN31" s="91">
        <f t="shared" si="10"/>
        <v>26.5625</v>
      </c>
      <c r="AO31" s="92"/>
      <c r="AV31" s="95">
        <f t="shared" si="11"/>
        <v>2</v>
      </c>
      <c r="AW31" s="95">
        <f t="shared" si="0"/>
        <v>2.6636793319959211</v>
      </c>
      <c r="AX31" s="95">
        <f t="shared" si="1"/>
        <v>3.5</v>
      </c>
      <c r="AY31" s="95">
        <f t="shared" si="2"/>
        <v>9.6621432084423251</v>
      </c>
      <c r="AZ31" s="95">
        <f t="shared" si="3"/>
        <v>16.994157207968332</v>
      </c>
      <c r="BA31" s="95">
        <f t="shared" si="4"/>
        <v>59.278019245676319</v>
      </c>
    </row>
    <row r="32" spans="3:53" ht="15.75" customHeight="1" x14ac:dyDescent="0.25">
      <c r="AB32" s="91">
        <f t="shared" si="12"/>
        <v>2.130943465596737</v>
      </c>
      <c r="AC32" s="91">
        <f t="shared" si="5"/>
        <v>0.79999999999999971</v>
      </c>
      <c r="AD32" s="91">
        <f t="shared" si="6"/>
        <v>55.394571850130788</v>
      </c>
      <c r="AE32" s="91">
        <f t="shared" si="13"/>
        <v>31.390257381740781</v>
      </c>
      <c r="AF32" s="92"/>
      <c r="AG32" s="91">
        <f t="shared" si="14"/>
        <v>3.0844830793082116</v>
      </c>
      <c r="AH32" s="91">
        <f t="shared" si="7"/>
        <v>0.80000000000000027</v>
      </c>
      <c r="AI32" s="91">
        <f t="shared" si="8"/>
        <v>57.513001565553346</v>
      </c>
      <c r="AJ32" s="91">
        <f t="shared" si="15"/>
        <v>32.590700887146895</v>
      </c>
      <c r="AK32" s="92"/>
      <c r="AL32" s="91">
        <f t="shared" si="16"/>
        <v>1.6000000000000003</v>
      </c>
      <c r="AM32" s="91">
        <f t="shared" si="9"/>
        <v>48.000000000000007</v>
      </c>
      <c r="AN32" s="91">
        <f t="shared" si="10"/>
        <v>27.200000000000003</v>
      </c>
      <c r="AO32" s="92"/>
      <c r="AV32" s="95">
        <f t="shared" si="11"/>
        <v>2</v>
      </c>
      <c r="AW32" s="95">
        <f t="shared" si="0"/>
        <v>2.6636793319959211</v>
      </c>
      <c r="AX32" s="95">
        <f t="shared" si="1"/>
        <v>3.5</v>
      </c>
      <c r="AY32" s="95">
        <f t="shared" si="2"/>
        <v>9.6621432084423251</v>
      </c>
      <c r="AZ32" s="95">
        <f t="shared" si="3"/>
        <v>16.994157207968332</v>
      </c>
      <c r="BA32" s="95">
        <f t="shared" si="4"/>
        <v>59.278019245676319</v>
      </c>
    </row>
    <row r="33" spans="3:53" ht="15.75" customHeight="1" x14ac:dyDescent="0.25">
      <c r="AB33" s="91">
        <f t="shared" si="12"/>
        <v>2.264127432196533</v>
      </c>
      <c r="AC33" s="91">
        <f t="shared" si="5"/>
        <v>0.84999999999999976</v>
      </c>
      <c r="AD33" s="91">
        <f t="shared" si="6"/>
        <v>56.40436873281547</v>
      </c>
      <c r="AE33" s="91">
        <f t="shared" si="13"/>
        <v>31.962475615262097</v>
      </c>
      <c r="AF33" s="92"/>
      <c r="AG33" s="91">
        <f t="shared" si="14"/>
        <v>3.277263271764975</v>
      </c>
      <c r="AH33" s="91">
        <f t="shared" si="7"/>
        <v>0.85000000000000031</v>
      </c>
      <c r="AI33" s="91">
        <f t="shared" si="8"/>
        <v>58.300808885463624</v>
      </c>
      <c r="AJ33" s="91">
        <f t="shared" si="15"/>
        <v>33.037125035096054</v>
      </c>
      <c r="AK33" s="92"/>
      <c r="AL33" s="91">
        <f t="shared" si="16"/>
        <v>1.7000000000000004</v>
      </c>
      <c r="AM33" s="91">
        <f t="shared" si="9"/>
        <v>48.875</v>
      </c>
      <c r="AN33" s="91">
        <f t="shared" si="10"/>
        <v>27.695833333333329</v>
      </c>
      <c r="AO33" s="92"/>
      <c r="AV33" s="95">
        <f t="shared" si="11"/>
        <v>2</v>
      </c>
      <c r="AW33" s="95">
        <f t="shared" si="0"/>
        <v>2.6636793319959211</v>
      </c>
      <c r="AX33" s="95">
        <f t="shared" si="1"/>
        <v>3.5</v>
      </c>
      <c r="AY33" s="95">
        <f t="shared" si="2"/>
        <v>9.6621432084423251</v>
      </c>
      <c r="AZ33" s="95">
        <f t="shared" si="3"/>
        <v>16.994157207968332</v>
      </c>
      <c r="BA33" s="95">
        <f t="shared" si="4"/>
        <v>59.278019245676319</v>
      </c>
    </row>
    <row r="34" spans="3:53" ht="16.5" customHeight="1" x14ac:dyDescent="0.25">
      <c r="AB34" s="91">
        <f t="shared" si="12"/>
        <v>2.397311398796329</v>
      </c>
      <c r="AC34" s="91">
        <f t="shared" si="5"/>
        <v>0.89999999999999969</v>
      </c>
      <c r="AD34" s="91">
        <f t="shared" si="6"/>
        <v>57.125652220447378</v>
      </c>
      <c r="AE34" s="91">
        <f t="shared" si="13"/>
        <v>32.371202924920176</v>
      </c>
      <c r="AF34" s="92"/>
      <c r="AG34" s="91">
        <f t="shared" si="14"/>
        <v>3.4700434642217384</v>
      </c>
      <c r="AH34" s="91">
        <f t="shared" si="7"/>
        <v>0.90000000000000036</v>
      </c>
      <c r="AI34" s="91">
        <f t="shared" si="8"/>
        <v>58.850427391224962</v>
      </c>
      <c r="AJ34" s="91">
        <f t="shared" si="15"/>
        <v>33.348575521694144</v>
      </c>
      <c r="AK34" s="92"/>
      <c r="AL34" s="91">
        <f t="shared" si="16"/>
        <v>1.8000000000000005</v>
      </c>
      <c r="AM34" s="91">
        <f t="shared" si="9"/>
        <v>49.500000000000007</v>
      </c>
      <c r="AN34" s="91">
        <f t="shared" si="10"/>
        <v>28.05</v>
      </c>
      <c r="AO34" s="92"/>
      <c r="AV34" s="95">
        <f t="shared" si="11"/>
        <v>2</v>
      </c>
      <c r="AW34" s="95">
        <f t="shared" si="0"/>
        <v>2.6636793319959211</v>
      </c>
      <c r="AX34" s="95">
        <f t="shared" si="1"/>
        <v>3.5</v>
      </c>
      <c r="AY34" s="95">
        <f t="shared" si="2"/>
        <v>9.6621432084423251</v>
      </c>
      <c r="AZ34" s="95">
        <f t="shared" si="3"/>
        <v>16.994157207968332</v>
      </c>
      <c r="BA34" s="95">
        <f t="shared" si="4"/>
        <v>59.278019245676319</v>
      </c>
    </row>
    <row r="35" spans="3:53" x14ac:dyDescent="0.25">
      <c r="AB35" s="91">
        <f t="shared" si="12"/>
        <v>2.5304953653961251</v>
      </c>
      <c r="AC35" s="91">
        <f t="shared" si="5"/>
        <v>0.94999999999999973</v>
      </c>
      <c r="AD35" s="91">
        <f t="shared" si="6"/>
        <v>57.558422313026519</v>
      </c>
      <c r="AE35" s="91">
        <f t="shared" si="13"/>
        <v>32.61643931071503</v>
      </c>
      <c r="AF35" s="92"/>
      <c r="AG35" s="91">
        <f t="shared" si="14"/>
        <v>3.6628236566785017</v>
      </c>
      <c r="AH35" s="91">
        <f t="shared" si="7"/>
        <v>0.9500000000000004</v>
      </c>
      <c r="AI35" s="91">
        <f t="shared" si="8"/>
        <v>59.172750993108679</v>
      </c>
      <c r="AJ35" s="91">
        <f t="shared" si="15"/>
        <v>33.531225562761584</v>
      </c>
      <c r="AK35" s="92"/>
      <c r="AL35" s="91">
        <f t="shared" si="16"/>
        <v>1.9000000000000006</v>
      </c>
      <c r="AM35" s="91">
        <f t="shared" si="9"/>
        <v>49.875</v>
      </c>
      <c r="AN35" s="91">
        <f t="shared" si="10"/>
        <v>28.262499999999999</v>
      </c>
      <c r="AO35" s="92"/>
      <c r="AV35" s="95">
        <f t="shared" si="11"/>
        <v>2</v>
      </c>
      <c r="AW35" s="95">
        <f t="shared" si="0"/>
        <v>2.6636793319959211</v>
      </c>
      <c r="AX35" s="95">
        <f t="shared" si="1"/>
        <v>3.5</v>
      </c>
      <c r="AY35" s="95">
        <f t="shared" si="2"/>
        <v>9.6621432084423251</v>
      </c>
      <c r="AZ35" s="95">
        <f t="shared" si="3"/>
        <v>16.994157207968332</v>
      </c>
      <c r="BA35" s="95">
        <f t="shared" si="4"/>
        <v>59.278019245676319</v>
      </c>
    </row>
    <row r="36" spans="3:53" ht="15.75" thickBot="1" x14ac:dyDescent="0.3">
      <c r="AB36" s="12">
        <f t="shared" si="12"/>
        <v>2.6636793319959211</v>
      </c>
      <c r="AC36" s="91">
        <f t="shared" si="5"/>
        <v>0.99999999999999967</v>
      </c>
      <c r="AD36" s="91">
        <f t="shared" si="6"/>
        <v>57.702679010552906</v>
      </c>
      <c r="AE36" s="91">
        <f t="shared" si="13"/>
        <v>32.698184772646648</v>
      </c>
      <c r="AF36" s="92"/>
      <c r="AG36" s="12">
        <f t="shared" si="14"/>
        <v>3.8556038491352651</v>
      </c>
      <c r="AH36" s="91">
        <f t="shared" si="7"/>
        <v>1.0000000000000004</v>
      </c>
      <c r="AI36" s="91">
        <f t="shared" si="8"/>
        <v>59.278019245676319</v>
      </c>
      <c r="AJ36" s="91">
        <f t="shared" si="15"/>
        <v>33.590877572549914</v>
      </c>
      <c r="AK36" s="92"/>
      <c r="AL36" s="15">
        <f t="shared" si="16"/>
        <v>2.0000000000000004</v>
      </c>
      <c r="AM36" s="91">
        <f t="shared" si="9"/>
        <v>50</v>
      </c>
      <c r="AN36" s="91">
        <f t="shared" si="10"/>
        <v>28.333333333333332</v>
      </c>
      <c r="AO36" s="92"/>
      <c r="AV36" s="95">
        <f t="shared" si="11"/>
        <v>2</v>
      </c>
      <c r="AW36" s="95">
        <f t="shared" si="0"/>
        <v>2.6636793319959211</v>
      </c>
      <c r="AX36" s="95">
        <f t="shared" si="1"/>
        <v>3.5</v>
      </c>
      <c r="AY36" s="95">
        <f t="shared" si="2"/>
        <v>9.6621432084423251</v>
      </c>
      <c r="AZ36" s="95">
        <f t="shared" si="3"/>
        <v>16.994157207968332</v>
      </c>
      <c r="BA36" s="95">
        <f t="shared" si="4"/>
        <v>59.278019245676319</v>
      </c>
    </row>
    <row r="37" spans="3:53" ht="18" customHeight="1" x14ac:dyDescent="0.25">
      <c r="C37" s="123" t="s">
        <v>94</v>
      </c>
      <c r="D37" s="124"/>
      <c r="E37" s="124"/>
      <c r="F37" s="124"/>
      <c r="G37" s="124"/>
      <c r="H37" s="124"/>
      <c r="I37" s="124"/>
      <c r="J37" s="124"/>
      <c r="K37" s="124"/>
      <c r="L37" s="124"/>
      <c r="M37" s="125"/>
      <c r="AB37" s="13">
        <f>E31</f>
        <v>9.6621432084423251</v>
      </c>
      <c r="AC37" s="91">
        <v>0</v>
      </c>
      <c r="AD37" s="91">
        <f>0.85*$AD$36</f>
        <v>49.047277158969969</v>
      </c>
      <c r="AE37" s="91">
        <f t="shared" si="13"/>
        <v>27.793457056749649</v>
      </c>
      <c r="AF37" s="92"/>
      <c r="AG37" s="13">
        <f>J31</f>
        <v>16.994157207968332</v>
      </c>
      <c r="AH37" s="91">
        <v>0</v>
      </c>
      <c r="AI37" s="91">
        <f>0.85*AI36</f>
        <v>50.386316358824871</v>
      </c>
      <c r="AJ37" s="91">
        <f t="shared" si="15"/>
        <v>28.552245936667429</v>
      </c>
      <c r="AK37" s="92"/>
      <c r="AL37" s="16">
        <f>L5</f>
        <v>3.5</v>
      </c>
      <c r="AM37" s="91">
        <f>E5</f>
        <v>50</v>
      </c>
      <c r="AN37" s="91">
        <f t="shared" si="10"/>
        <v>28.333333333333332</v>
      </c>
      <c r="AO37" s="92"/>
      <c r="AV37" s="95">
        <f t="shared" si="11"/>
        <v>2</v>
      </c>
      <c r="AW37" s="95">
        <f t="shared" si="0"/>
        <v>2.6636793319959211</v>
      </c>
      <c r="AX37" s="95">
        <f t="shared" si="1"/>
        <v>3.5</v>
      </c>
      <c r="AY37" s="95">
        <f t="shared" si="2"/>
        <v>9.6621432084423251</v>
      </c>
      <c r="AZ37" s="95">
        <f t="shared" si="3"/>
        <v>16.994157207968332</v>
      </c>
      <c r="BA37" s="95">
        <f t="shared" si="4"/>
        <v>59.278019245676319</v>
      </c>
    </row>
    <row r="38" spans="3:53" ht="15.75" customHeight="1" thickBot="1" x14ac:dyDescent="0.3">
      <c r="C38" s="126"/>
      <c r="D38" s="127"/>
      <c r="E38" s="127"/>
      <c r="F38" s="127"/>
      <c r="G38" s="127"/>
      <c r="H38" s="127"/>
      <c r="I38" s="127"/>
      <c r="J38" s="127"/>
      <c r="K38" s="127"/>
      <c r="L38" s="127"/>
      <c r="M38" s="128"/>
      <c r="AF38" s="92"/>
      <c r="AK38" s="92"/>
      <c r="AO38" s="92"/>
    </row>
    <row r="39" spans="3:53" ht="15.75" x14ac:dyDescent="0.25">
      <c r="C39" s="119" t="s">
        <v>89</v>
      </c>
      <c r="D39" s="120"/>
      <c r="E39" s="77"/>
      <c r="F39" s="119" t="s">
        <v>93</v>
      </c>
      <c r="G39" s="120"/>
      <c r="H39" s="78"/>
      <c r="I39" s="119" t="s">
        <v>90</v>
      </c>
      <c r="J39" s="120"/>
      <c r="L39" s="148" t="s">
        <v>131</v>
      </c>
      <c r="M39" s="149"/>
      <c r="AF39" s="92"/>
      <c r="AK39" s="92"/>
      <c r="AO39" s="92"/>
    </row>
    <row r="40" spans="3:53" ht="15.75" x14ac:dyDescent="0.25">
      <c r="C40" s="121"/>
      <c r="D40" s="122"/>
      <c r="E40" s="77"/>
      <c r="F40" s="121"/>
      <c r="G40" s="122"/>
      <c r="H40" s="78"/>
      <c r="I40" s="121"/>
      <c r="J40" s="122"/>
      <c r="L40" s="150"/>
      <c r="M40" s="151"/>
      <c r="AF40" s="92"/>
      <c r="AK40" s="92"/>
      <c r="AO40" s="92"/>
    </row>
    <row r="41" spans="3:53" ht="18.75" thickBot="1" x14ac:dyDescent="0.3">
      <c r="C41" s="79" t="s">
        <v>34</v>
      </c>
      <c r="D41" s="80" t="s">
        <v>75</v>
      </c>
      <c r="F41" s="79" t="s">
        <v>34</v>
      </c>
      <c r="G41" s="80" t="s">
        <v>75</v>
      </c>
      <c r="I41" s="79" t="s">
        <v>34</v>
      </c>
      <c r="J41" s="80" t="s">
        <v>76</v>
      </c>
      <c r="L41" s="79" t="s">
        <v>34</v>
      </c>
      <c r="M41" s="80" t="s">
        <v>77</v>
      </c>
      <c r="AF41" s="92"/>
      <c r="AK41" s="92"/>
      <c r="AO41" s="92"/>
    </row>
    <row r="42" spans="3:53" ht="15.75" thickTop="1" x14ac:dyDescent="0.25">
      <c r="C42" s="81" t="s">
        <v>17</v>
      </c>
      <c r="D42" s="82" t="s">
        <v>79</v>
      </c>
      <c r="F42" s="81" t="s">
        <v>17</v>
      </c>
      <c r="G42" s="82" t="s">
        <v>79</v>
      </c>
      <c r="I42" s="81" t="s">
        <v>17</v>
      </c>
      <c r="J42" s="82" t="s">
        <v>79</v>
      </c>
      <c r="L42" s="81" t="s">
        <v>17</v>
      </c>
      <c r="M42" s="82" t="s">
        <v>15</v>
      </c>
      <c r="AF42" s="92"/>
      <c r="AK42" s="92"/>
      <c r="AO42" s="92"/>
    </row>
    <row r="43" spans="3:53" x14ac:dyDescent="0.25">
      <c r="C43" s="17">
        <f t="shared" ref="C43:C65" si="17">AB15/-1000</f>
        <v>1E-4</v>
      </c>
      <c r="D43" s="18">
        <f t="shared" ref="D43:D65" si="18">-1*AE15*1000</f>
        <v>100</v>
      </c>
      <c r="F43" s="17">
        <f t="shared" ref="F43:F65" si="19">AG15/-1000</f>
        <v>1E-4</v>
      </c>
      <c r="G43" s="18">
        <f t="shared" ref="G43:G65" si="20">-1*AJ15*1000</f>
        <v>100</v>
      </c>
      <c r="I43" s="17">
        <f t="shared" ref="I43:I65" si="21">AL15/-1000</f>
        <v>1E-4</v>
      </c>
      <c r="J43" s="18">
        <f t="shared" ref="J43:J65" si="22">-1*AN15*1000</f>
        <v>100</v>
      </c>
      <c r="L43" s="17">
        <f>AP24/1000</f>
        <v>-4.4999999999999998E-2</v>
      </c>
      <c r="M43" s="18">
        <f>AQ24*1000</f>
        <v>-434782.60869565216</v>
      </c>
      <c r="AF43" s="92"/>
      <c r="AK43" s="92"/>
      <c r="AO43" s="92"/>
    </row>
    <row r="44" spans="3:53" x14ac:dyDescent="0.25">
      <c r="C44" s="17">
        <f t="shared" si="17"/>
        <v>0</v>
      </c>
      <c r="D44" s="18">
        <f t="shared" si="18"/>
        <v>0</v>
      </c>
      <c r="F44" s="17">
        <f t="shared" si="19"/>
        <v>0</v>
      </c>
      <c r="G44" s="18">
        <f t="shared" si="20"/>
        <v>0</v>
      </c>
      <c r="I44" s="17">
        <f t="shared" si="21"/>
        <v>0</v>
      </c>
      <c r="J44" s="18">
        <f t="shared" si="22"/>
        <v>0</v>
      </c>
      <c r="L44" s="17">
        <f>AP25/1000</f>
        <v>-2.1739130434782609E-3</v>
      </c>
      <c r="M44" s="18">
        <f>AQ25*1000</f>
        <v>-434782.60869565216</v>
      </c>
      <c r="AF44" s="92"/>
      <c r="AK44" s="92"/>
      <c r="AO44" s="92"/>
    </row>
    <row r="45" spans="3:53" x14ac:dyDescent="0.25">
      <c r="C45" s="17">
        <f t="shared" si="17"/>
        <v>-1.331839665997961E-4</v>
      </c>
      <c r="D45" s="18">
        <f t="shared" si="18"/>
        <v>-3188.0730153330492</v>
      </c>
      <c r="F45" s="17">
        <f t="shared" si="19"/>
        <v>-1.9278019245676318E-4</v>
      </c>
      <c r="G45" s="18">
        <f t="shared" si="20"/>
        <v>-3912.0874126622325</v>
      </c>
      <c r="I45" s="17">
        <f t="shared" si="21"/>
        <v>-1E-4</v>
      </c>
      <c r="J45" s="18">
        <f t="shared" si="22"/>
        <v>-2762.5000000000009</v>
      </c>
      <c r="L45" s="17">
        <f>AP26/1000</f>
        <v>0</v>
      </c>
      <c r="M45" s="18">
        <f>AQ26*1000</f>
        <v>0</v>
      </c>
      <c r="AF45" s="92"/>
      <c r="AK45" s="92"/>
      <c r="AO45" s="92"/>
    </row>
    <row r="46" spans="3:53" x14ac:dyDescent="0.25">
      <c r="C46" s="17">
        <f t="shared" si="17"/>
        <v>-2.6636793319959219E-4</v>
      </c>
      <c r="D46" s="18">
        <f t="shared" si="18"/>
        <v>-6212.6551068028602</v>
      </c>
      <c r="F46" s="17">
        <f t="shared" si="19"/>
        <v>-3.8556038491352636E-4</v>
      </c>
      <c r="G46" s="18">
        <f t="shared" si="20"/>
        <v>-7502.1193297512591</v>
      </c>
      <c r="I46" s="17">
        <f t="shared" si="21"/>
        <v>-2.0000000000000001E-4</v>
      </c>
      <c r="J46" s="18">
        <f t="shared" si="22"/>
        <v>-5383.3333333333321</v>
      </c>
      <c r="L46" s="17">
        <f>AP27/1000</f>
        <v>2.1739130434782609E-3</v>
      </c>
      <c r="M46" s="18">
        <f>AQ27*1000</f>
        <v>434782.60869565216</v>
      </c>
      <c r="AF46" s="92"/>
      <c r="AK46" s="92"/>
      <c r="AL46" s="92"/>
      <c r="AM46" s="92"/>
      <c r="AN46" s="92"/>
      <c r="AO46" s="92"/>
    </row>
    <row r="47" spans="3:53" ht="15.75" thickBot="1" x14ac:dyDescent="0.3">
      <c r="C47" s="17">
        <f t="shared" si="17"/>
        <v>-3.9955189979938826E-4</v>
      </c>
      <c r="D47" s="18">
        <f t="shared" si="18"/>
        <v>-9073.7462744094464</v>
      </c>
      <c r="F47" s="17">
        <f t="shared" si="19"/>
        <v>-5.7834057737028959E-4</v>
      </c>
      <c r="G47" s="18">
        <f t="shared" si="20"/>
        <v>-10789.577584941328</v>
      </c>
      <c r="I47" s="17">
        <f t="shared" si="21"/>
        <v>-3.0000000000000003E-4</v>
      </c>
      <c r="J47" s="18">
        <f t="shared" si="22"/>
        <v>-7862.5000000000018</v>
      </c>
      <c r="L47" s="19">
        <f>AP28/1000</f>
        <v>4.4999999999999998E-2</v>
      </c>
      <c r="M47" s="20">
        <f>AQ28*1000</f>
        <v>434782.60869565216</v>
      </c>
    </row>
    <row r="48" spans="3:53" ht="15.75" thickBot="1" x14ac:dyDescent="0.3">
      <c r="C48" s="17">
        <f t="shared" si="17"/>
        <v>-5.3273586639918438E-4</v>
      </c>
      <c r="D48" s="18">
        <f t="shared" si="18"/>
        <v>-11771.346518152795</v>
      </c>
      <c r="F48" s="17">
        <f t="shared" si="19"/>
        <v>-7.7112076982705272E-4</v>
      </c>
      <c r="G48" s="18">
        <f t="shared" si="20"/>
        <v>-13792.403739030604</v>
      </c>
      <c r="I48" s="17">
        <f t="shared" si="21"/>
        <v>-4.0000000000000002E-4</v>
      </c>
      <c r="J48" s="18">
        <f t="shared" si="22"/>
        <v>-10199.999999999996</v>
      </c>
    </row>
    <row r="49" spans="3:13" x14ac:dyDescent="0.25">
      <c r="C49" s="17">
        <f t="shared" si="17"/>
        <v>-6.659198329989804E-4</v>
      </c>
      <c r="D49" s="18">
        <f t="shared" si="18"/>
        <v>-14305.455838032907</v>
      </c>
      <c r="F49" s="17">
        <f t="shared" si="19"/>
        <v>-9.6390096228381585E-4</v>
      </c>
      <c r="G49" s="18">
        <f t="shared" si="20"/>
        <v>-16527.148350858341</v>
      </c>
      <c r="I49" s="17">
        <f t="shared" si="21"/>
        <v>-5.0000000000000001E-4</v>
      </c>
      <c r="J49" s="18">
        <f t="shared" si="22"/>
        <v>-12395.833333333334</v>
      </c>
      <c r="L49" s="148" t="s">
        <v>132</v>
      </c>
      <c r="M49" s="149"/>
    </row>
    <row r="50" spans="3:13" x14ac:dyDescent="0.25">
      <c r="C50" s="17">
        <f t="shared" si="17"/>
        <v>-7.9910379959877641E-4</v>
      </c>
      <c r="D50" s="18">
        <f t="shared" si="18"/>
        <v>-16676.074234049789</v>
      </c>
      <c r="F50" s="17">
        <f t="shared" si="19"/>
        <v>-1.1566811547405792E-3</v>
      </c>
      <c r="G50" s="18">
        <f t="shared" si="20"/>
        <v>-19009.103218919809</v>
      </c>
      <c r="I50" s="17">
        <f t="shared" si="21"/>
        <v>-5.9999999999999995E-4</v>
      </c>
      <c r="J50" s="18">
        <f t="shared" si="22"/>
        <v>-14450.000000000002</v>
      </c>
      <c r="L50" s="150"/>
      <c r="M50" s="151"/>
    </row>
    <row r="51" spans="3:13" ht="18.75" thickBot="1" x14ac:dyDescent="0.3">
      <c r="C51" s="17">
        <f t="shared" si="17"/>
        <v>-9.3228776619857243E-4</v>
      </c>
      <c r="D51" s="18">
        <f t="shared" si="18"/>
        <v>-18883.201706203443</v>
      </c>
      <c r="F51" s="17">
        <f t="shared" si="19"/>
        <v>-1.3494613471973422E-3</v>
      </c>
      <c r="G51" s="18">
        <f t="shared" si="20"/>
        <v>-21252.418817937494</v>
      </c>
      <c r="I51" s="17">
        <f t="shared" si="21"/>
        <v>-6.9999999999999999E-4</v>
      </c>
      <c r="J51" s="18">
        <f t="shared" si="22"/>
        <v>-16362.499999999996</v>
      </c>
      <c r="L51" s="79" t="s">
        <v>34</v>
      </c>
      <c r="M51" s="80" t="s">
        <v>77</v>
      </c>
    </row>
    <row r="52" spans="3:13" ht="15.75" thickTop="1" x14ac:dyDescent="0.25">
      <c r="C52" s="17">
        <f t="shared" si="17"/>
        <v>-1.0654717327983686E-3</v>
      </c>
      <c r="D52" s="18">
        <f t="shared" si="18"/>
        <v>-20926.83825449385</v>
      </c>
      <c r="F52" s="17">
        <f t="shared" si="19"/>
        <v>-1.5422415396541054E-3</v>
      </c>
      <c r="G52" s="18">
        <f t="shared" si="20"/>
        <v>-23270.208828707095</v>
      </c>
      <c r="I52" s="17">
        <f t="shared" si="21"/>
        <v>-7.9999999999999993E-4</v>
      </c>
      <c r="J52" s="18">
        <f t="shared" si="22"/>
        <v>-18133.333333333328</v>
      </c>
      <c r="L52" s="81" t="s">
        <v>17</v>
      </c>
      <c r="M52" s="82" t="s">
        <v>15</v>
      </c>
    </row>
    <row r="53" spans="3:13" x14ac:dyDescent="0.25">
      <c r="C53" s="17">
        <f t="shared" si="17"/>
        <v>-1.1986556993981645E-3</v>
      </c>
      <c r="D53" s="18">
        <f t="shared" si="18"/>
        <v>-22806.983878921033</v>
      </c>
      <c r="F53" s="17">
        <f t="shared" si="19"/>
        <v>-1.7350217321108685E-3</v>
      </c>
      <c r="G53" s="18">
        <f t="shared" si="20"/>
        <v>-25074.643386364871</v>
      </c>
      <c r="I53" s="17">
        <f t="shared" si="21"/>
        <v>-8.9999999999999987E-4</v>
      </c>
      <c r="J53" s="18">
        <f t="shared" si="22"/>
        <v>-19762.5</v>
      </c>
      <c r="L53" s="17">
        <f>AS24/1000</f>
        <v>-4.4999999999999998E-2</v>
      </c>
      <c r="M53" s="18">
        <f>AT24*1000</f>
        <v>-469565.21739130438</v>
      </c>
    </row>
    <row r="54" spans="3:13" x14ac:dyDescent="0.25">
      <c r="C54" s="17">
        <f t="shared" si="17"/>
        <v>-1.3318396659979606E-3</v>
      </c>
      <c r="D54" s="18">
        <f t="shared" si="18"/>
        <v>-24523.638579484985</v>
      </c>
      <c r="F54" s="17">
        <f t="shared" si="19"/>
        <v>-1.9278019245676317E-3</v>
      </c>
      <c r="G54" s="18">
        <f t="shared" si="20"/>
        <v>-26677.032442491938</v>
      </c>
      <c r="I54" s="17">
        <f t="shared" si="21"/>
        <v>-9.999999999999998E-4</v>
      </c>
      <c r="J54" s="18">
        <f t="shared" si="22"/>
        <v>-21250</v>
      </c>
      <c r="L54" s="17">
        <f t="shared" ref="L54:L57" si="23">AS25/1000</f>
        <v>-2.1739130434782613E-3</v>
      </c>
      <c r="M54" s="18">
        <f t="shared" ref="M54:M57" si="24">AT25*1000</f>
        <v>-434782.60869565216</v>
      </c>
    </row>
    <row r="55" spans="3:13" x14ac:dyDescent="0.25">
      <c r="C55" s="17">
        <f t="shared" si="17"/>
        <v>-1.4650236325977565E-3</v>
      </c>
      <c r="D55" s="18">
        <f t="shared" si="18"/>
        <v>-26076.802356185704</v>
      </c>
      <c r="F55" s="17">
        <f t="shared" si="19"/>
        <v>-2.1205821170243947E-3</v>
      </c>
      <c r="G55" s="18">
        <f t="shared" si="20"/>
        <v>-28087.900442640861</v>
      </c>
      <c r="I55" s="17">
        <f t="shared" si="21"/>
        <v>-1.0999999999999998E-3</v>
      </c>
      <c r="J55" s="18">
        <f t="shared" si="22"/>
        <v>-22595.833333333328</v>
      </c>
      <c r="L55" s="17">
        <f t="shared" si="23"/>
        <v>0</v>
      </c>
      <c r="M55" s="18">
        <f t="shared" si="24"/>
        <v>0</v>
      </c>
    </row>
    <row r="56" spans="3:13" x14ac:dyDescent="0.25">
      <c r="C56" s="17">
        <f t="shared" si="17"/>
        <v>-1.5982075991975526E-3</v>
      </c>
      <c r="D56" s="18">
        <f t="shared" si="18"/>
        <v>-27466.475209023185</v>
      </c>
      <c r="F56" s="17">
        <f t="shared" si="19"/>
        <v>-2.3133623094811584E-3</v>
      </c>
      <c r="G56" s="18">
        <f t="shared" si="20"/>
        <v>-29317.053356811892</v>
      </c>
      <c r="I56" s="17">
        <f t="shared" si="21"/>
        <v>-1.1999999999999999E-3</v>
      </c>
      <c r="J56" s="18">
        <f t="shared" si="22"/>
        <v>-23799.999999999996</v>
      </c>
      <c r="L56" s="17">
        <f t="shared" si="23"/>
        <v>2.1739130434782613E-3</v>
      </c>
      <c r="M56" s="18">
        <f t="shared" si="24"/>
        <v>434782.60869565216</v>
      </c>
    </row>
    <row r="57" spans="3:13" ht="15.75" thickBot="1" x14ac:dyDescent="0.3">
      <c r="C57" s="17">
        <f t="shared" si="17"/>
        <v>-1.7313915657973487E-3</v>
      </c>
      <c r="D57" s="18">
        <f t="shared" si="18"/>
        <v>-28692.657137997434</v>
      </c>
      <c r="F57" s="17">
        <f t="shared" si="19"/>
        <v>-2.5061425019379216E-3</v>
      </c>
      <c r="G57" s="18">
        <f t="shared" si="20"/>
        <v>-30373.6389611247</v>
      </c>
      <c r="I57" s="17">
        <f t="shared" si="21"/>
        <v>-1.2999999999999999E-3</v>
      </c>
      <c r="J57" s="18">
        <f t="shared" si="22"/>
        <v>-24862.499999999996</v>
      </c>
      <c r="L57" s="19">
        <f t="shared" si="23"/>
        <v>4.4999999999999998E-2</v>
      </c>
      <c r="M57" s="20">
        <f t="shared" si="24"/>
        <v>469565.21739130438</v>
      </c>
    </row>
    <row r="58" spans="3:13" x14ac:dyDescent="0.25">
      <c r="C58" s="17">
        <f t="shared" si="17"/>
        <v>-1.8645755323971446E-3</v>
      </c>
      <c r="D58" s="18">
        <f t="shared" si="18"/>
        <v>-29755.348143108447</v>
      </c>
      <c r="F58" s="17">
        <f t="shared" si="19"/>
        <v>-2.6989226943946848E-3</v>
      </c>
      <c r="G58" s="18">
        <f t="shared" si="20"/>
        <v>-31266.201150338034</v>
      </c>
      <c r="I58" s="17">
        <f t="shared" si="21"/>
        <v>-1.4000000000000002E-3</v>
      </c>
      <c r="J58" s="18">
        <f t="shared" si="22"/>
        <v>-25783.333333333332</v>
      </c>
    </row>
    <row r="59" spans="3:13" x14ac:dyDescent="0.25">
      <c r="C59" s="17">
        <f t="shared" si="17"/>
        <v>-1.9977594989969405E-3</v>
      </c>
      <c r="D59" s="18">
        <f t="shared" si="18"/>
        <v>-30654.548224356233</v>
      </c>
      <c r="F59" s="17">
        <f t="shared" si="19"/>
        <v>-2.8917028868514481E-3</v>
      </c>
      <c r="G59" s="18">
        <f t="shared" si="20"/>
        <v>-32002.728959604981</v>
      </c>
      <c r="I59" s="17">
        <f t="shared" si="21"/>
        <v>-1.5000000000000002E-3</v>
      </c>
      <c r="J59" s="18">
        <f t="shared" si="22"/>
        <v>-26562.5</v>
      </c>
    </row>
    <row r="60" spans="3:13" x14ac:dyDescent="0.25">
      <c r="C60" s="17">
        <f t="shared" si="17"/>
        <v>-2.1309434655967371E-3</v>
      </c>
      <c r="D60" s="18">
        <f t="shared" si="18"/>
        <v>-31390.257381740783</v>
      </c>
      <c r="F60" s="17">
        <f t="shared" si="19"/>
        <v>-3.0844830793082118E-3</v>
      </c>
      <c r="G60" s="18">
        <f t="shared" si="20"/>
        <v>-32590.700887146893</v>
      </c>
      <c r="I60" s="17">
        <f t="shared" si="21"/>
        <v>-1.6000000000000003E-3</v>
      </c>
      <c r="J60" s="18">
        <f t="shared" si="22"/>
        <v>-27200.000000000004</v>
      </c>
    </row>
    <row r="61" spans="3:13" x14ac:dyDescent="0.25">
      <c r="C61" s="17">
        <f t="shared" si="17"/>
        <v>-2.2641274321965328E-3</v>
      </c>
      <c r="D61" s="18">
        <f t="shared" si="18"/>
        <v>-31962.475615262098</v>
      </c>
      <c r="F61" s="17">
        <f t="shared" si="19"/>
        <v>-3.277263271764975E-3</v>
      </c>
      <c r="G61" s="18">
        <f t="shared" si="20"/>
        <v>-33037.125035096054</v>
      </c>
      <c r="I61" s="17">
        <f t="shared" si="21"/>
        <v>-1.7000000000000003E-3</v>
      </c>
      <c r="J61" s="18">
        <f t="shared" si="22"/>
        <v>-27695.833333333328</v>
      </c>
    </row>
    <row r="62" spans="3:13" x14ac:dyDescent="0.25">
      <c r="C62" s="17">
        <f t="shared" si="17"/>
        <v>-2.3973113987963289E-3</v>
      </c>
      <c r="D62" s="18">
        <f t="shared" si="18"/>
        <v>-32371.202924920177</v>
      </c>
      <c r="F62" s="17">
        <f t="shared" si="19"/>
        <v>-3.4700434642217382E-3</v>
      </c>
      <c r="G62" s="18">
        <f t="shared" si="20"/>
        <v>-33348.575521694147</v>
      </c>
      <c r="I62" s="17">
        <f t="shared" si="21"/>
        <v>-1.8000000000000004E-3</v>
      </c>
      <c r="J62" s="18">
        <f t="shared" si="22"/>
        <v>-28050</v>
      </c>
    </row>
    <row r="63" spans="3:13" x14ac:dyDescent="0.25">
      <c r="C63" s="17">
        <f t="shared" si="17"/>
        <v>-2.530495365396125E-3</v>
      </c>
      <c r="D63" s="18">
        <f t="shared" si="18"/>
        <v>-32616.439310715032</v>
      </c>
      <c r="F63" s="17">
        <f t="shared" si="19"/>
        <v>-3.6628236566785019E-3</v>
      </c>
      <c r="G63" s="18">
        <f t="shared" si="20"/>
        <v>-33531.225562761581</v>
      </c>
      <c r="I63" s="17">
        <f t="shared" si="21"/>
        <v>-1.9000000000000006E-3</v>
      </c>
      <c r="J63" s="18">
        <f t="shared" si="22"/>
        <v>-28262.5</v>
      </c>
    </row>
    <row r="64" spans="3:13" x14ac:dyDescent="0.25">
      <c r="C64" s="17">
        <f t="shared" si="17"/>
        <v>-2.6636793319959212E-3</v>
      </c>
      <c r="D64" s="18">
        <f t="shared" si="18"/>
        <v>-32698.184772646648</v>
      </c>
      <c r="F64" s="17">
        <f t="shared" si="19"/>
        <v>-3.8556038491352651E-3</v>
      </c>
      <c r="G64" s="18">
        <f t="shared" si="20"/>
        <v>-33590.877572549914</v>
      </c>
      <c r="I64" s="17">
        <f t="shared" si="21"/>
        <v>-2.0000000000000005E-3</v>
      </c>
      <c r="J64" s="18">
        <f t="shared" si="22"/>
        <v>-28333.333333333332</v>
      </c>
    </row>
    <row r="65" spans="3:10" ht="15.75" thickBot="1" x14ac:dyDescent="0.3">
      <c r="C65" s="19">
        <f t="shared" si="17"/>
        <v>-9.6621432084423257E-3</v>
      </c>
      <c r="D65" s="20">
        <f t="shared" si="18"/>
        <v>-27793.457056749648</v>
      </c>
      <c r="F65" s="19">
        <f t="shared" si="19"/>
        <v>-1.6994157207968333E-2</v>
      </c>
      <c r="G65" s="20">
        <f t="shared" si="20"/>
        <v>-28552.24593666743</v>
      </c>
      <c r="I65" s="19">
        <f t="shared" si="21"/>
        <v>-3.5000000000000001E-3</v>
      </c>
      <c r="J65" s="20">
        <f t="shared" si="22"/>
        <v>-28333.333333333332</v>
      </c>
    </row>
  </sheetData>
  <sheetProtection selectLockedCells="1" selectUnlockedCells="1"/>
  <dataConsolidate/>
  <mergeCells count="32">
    <mergeCell ref="C39:D40"/>
    <mergeCell ref="F39:G40"/>
    <mergeCell ref="I39:J40"/>
    <mergeCell ref="L39:M40"/>
    <mergeCell ref="L49:M50"/>
    <mergeCell ref="C37:M38"/>
    <mergeCell ref="J16:J17"/>
    <mergeCell ref="AP21:AQ21"/>
    <mergeCell ref="AS21:AT21"/>
    <mergeCell ref="C23:E23"/>
    <mergeCell ref="F23:H23"/>
    <mergeCell ref="I23:K23"/>
    <mergeCell ref="D24:E26"/>
    <mergeCell ref="G24:H26"/>
    <mergeCell ref="J24:K26"/>
    <mergeCell ref="C28:F28"/>
    <mergeCell ref="H28:K28"/>
    <mergeCell ref="C8:C9"/>
    <mergeCell ref="AP10:AQ10"/>
    <mergeCell ref="AS10:AT10"/>
    <mergeCell ref="C12:H12"/>
    <mergeCell ref="AB12:AE12"/>
    <mergeCell ref="AG12:AJ12"/>
    <mergeCell ref="AL12:AN12"/>
    <mergeCell ref="AP12:AQ12"/>
    <mergeCell ref="AS12:AT12"/>
    <mergeCell ref="C1:D1"/>
    <mergeCell ref="C2:Q2"/>
    <mergeCell ref="C3:C4"/>
    <mergeCell ref="D3:D4"/>
    <mergeCell ref="C7:J7"/>
    <mergeCell ref="L7:N7"/>
  </mergeCells>
  <conditionalFormatting sqref="D24:E26">
    <cfRule type="containsText" dxfId="2" priority="3" operator="containsText" text="Pass">
      <formula>NOT(ISERROR(SEARCH("Pass",D24)))</formula>
    </cfRule>
  </conditionalFormatting>
  <conditionalFormatting sqref="G24:H26">
    <cfRule type="containsText" dxfId="1" priority="2" operator="containsText" text="Pass">
      <formula>NOT(ISERROR(SEARCH("Pass",G24)))</formula>
    </cfRule>
  </conditionalFormatting>
  <conditionalFormatting sqref="J24:K26">
    <cfRule type="containsText" dxfId="0" priority="1" operator="containsText" text="Pass">
      <formula>NOT(ISERROR(SEARCH("Pass",J24)))</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60648463-00F6-45FB-A748-669EF4915B5C}">
          <x14:formula1>
            <xm:f>Data!$G$23:$G$24</xm:f>
          </x14:formula1>
          <xm:sqref>H15</xm:sqref>
        </x14:dataValidation>
        <x14:dataValidation type="list" showInputMessage="1" showErrorMessage="1" xr:uid="{B7231C53-BFC2-4CB2-BD3E-D69DA4FFC434}">
          <x14:formula1>
            <xm:f>Data!$F$23:$F$24</xm:f>
          </x14:formula1>
          <xm:sqref>J18</xm:sqref>
        </x14:dataValidation>
        <x14:dataValidation type="list" allowBlank="1" showInputMessage="1" showErrorMessage="1" xr:uid="{AEF13688-AF14-4084-8396-24757C2ADE5B}">
          <x14:formula1>
            <xm:f>Data!$E$23:$E$29</xm:f>
          </x14:formula1>
          <xm:sqref>D21</xm:sqref>
        </x14:dataValidation>
        <x14:dataValidation type="list" allowBlank="1" showInputMessage="1" showErrorMessage="1" xr:uid="{BE34015F-2DF2-4320-B113-C21460804B1A}">
          <x14:formula1>
            <xm:f>Data!$D$23:$D$29</xm:f>
          </x14:formula1>
          <xm:sqref>D18:E18</xm:sqref>
        </x14:dataValidation>
        <x14:dataValidation type="list" allowBlank="1" showInputMessage="1" showErrorMessage="1" xr:uid="{0D8B315B-E13A-443D-826F-148014098CF5}">
          <x14:formula1>
            <xm:f>Data!$C$23:$C$33</xm:f>
          </x14:formula1>
          <xm:sqref>C18 C21</xm:sqref>
        </x14:dataValidation>
        <x14:dataValidation type="list" allowBlank="1" showInputMessage="1" showErrorMessage="1" xr:uid="{5D8AECFF-F32D-493A-9AF4-C4B016E31215}">
          <x14:formula1>
            <xm:f>Data!$C$5:$C$13</xm:f>
          </x14:formula1>
          <xm:sqref>C5</xm:sqref>
        </x14:dataValidation>
        <x14:dataValidation type="list" allowBlank="1" showInputMessage="1" showErrorMessage="1" xr:uid="{D4AD9EE0-AD4D-40CC-9782-A46D2677E482}">
          <x14:formula1>
            <xm:f>Data!$C$18:$C$20</xm:f>
          </x14:formula1>
          <xm:sqref>C10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3648F-EA25-419C-997F-AF0F2745B1ED}">
  <dimension ref="A1"/>
  <sheetViews>
    <sheetView zoomScale="120" zoomScaleNormal="120" workbookViewId="0">
      <selection activeCell="K26" sqref="K26"/>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B126C16-EDE5-4572-9A05-32F694B4EE0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Data</vt:lpstr>
      <vt:lpstr>NOTES</vt:lpstr>
      <vt:lpstr>WR03-01</vt:lpstr>
      <vt:lpstr>WR03-04</vt:lpstr>
      <vt:lpstr>WR3-05</vt:lpstr>
      <vt:lpstr>WR3-06</vt:lpstr>
      <vt:lpstr>Summary SSW</vt:lpstr>
      <vt:lpstr>WR03-01 CW</vt:lpstr>
      <vt:lpstr>WR03-05 CW</vt:lpstr>
      <vt:lpstr>WR03-06 CW</vt:lpstr>
      <vt:lpstr>Summary CW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Petar</dc:creator>
  <cp:lastModifiedBy>Petar</cp:lastModifiedBy>
  <dcterms:created xsi:type="dcterms:W3CDTF">2015-06-05T18:17:20Z</dcterms:created>
  <dcterms:modified xsi:type="dcterms:W3CDTF">2022-03-08T12:27:21Z</dcterms:modified>
</cp:coreProperties>
</file>